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tabRatio="574" activeTab="0"/>
  </bookViews>
  <sheets>
    <sheet name="Rev BSL" sheetId="1" r:id="rId1"/>
    <sheet name="Net Tax Loss" sheetId="2" r:id="rId2"/>
    <sheet name="BSL" sheetId="3" r:id="rId3"/>
    <sheet name="Cost Chart" sheetId="4" r:id="rId4"/>
    <sheet name="Rev Chart" sheetId="5" r:id="rId5"/>
  </sheets>
  <definedNames/>
  <calcPr fullCalcOnLoad="1"/>
</workbook>
</file>

<file path=xl/sharedStrings.xml><?xml version="1.0" encoding="utf-8"?>
<sst xmlns="http://schemas.openxmlformats.org/spreadsheetml/2006/main" count="265" uniqueCount="96">
  <si>
    <t>-</t>
  </si>
  <si>
    <t xml:space="preserve">     US And Canada</t>
  </si>
  <si>
    <t>Sales Forcast</t>
  </si>
  <si>
    <t>Sale Price</t>
  </si>
  <si>
    <t xml:space="preserve">Expected </t>
  </si>
  <si>
    <t xml:space="preserve">Royalty </t>
  </si>
  <si>
    <t>Salaries &amp;</t>
  </si>
  <si>
    <t>Investors</t>
  </si>
  <si>
    <t xml:space="preserve">Legal &amp; </t>
  </si>
  <si>
    <t xml:space="preserve">Office &amp; </t>
  </si>
  <si>
    <t>Advertising &amp;</t>
  </si>
  <si>
    <t>Industries</t>
  </si>
  <si>
    <t>EBIT</t>
  </si>
  <si>
    <t xml:space="preserve">Tax </t>
  </si>
  <si>
    <t>Net Profit</t>
  </si>
  <si>
    <t>Year</t>
  </si>
  <si>
    <t>Expenses</t>
  </si>
  <si>
    <t>fees</t>
  </si>
  <si>
    <t>Management</t>
  </si>
  <si>
    <t>Relations</t>
  </si>
  <si>
    <t>Accounting</t>
  </si>
  <si>
    <t>Insurance</t>
  </si>
  <si>
    <t>Promotions</t>
  </si>
  <si>
    <t>Association</t>
  </si>
  <si>
    <t>after Taxes</t>
  </si>
  <si>
    <t>per Share</t>
  </si>
  <si>
    <t xml:space="preserve">   Asia &amp; Europe</t>
  </si>
  <si>
    <t xml:space="preserve">   South America</t>
  </si>
  <si>
    <t>(All figures in US $)</t>
  </si>
  <si>
    <t>% of Sales</t>
  </si>
  <si>
    <t>Gross Revenue</t>
  </si>
  <si>
    <t>Gross Profit</t>
  </si>
  <si>
    <t>Less Expenses:</t>
  </si>
  <si>
    <t>% of expenses</t>
  </si>
  <si>
    <t xml:space="preserve">    Salaries &amp; Management</t>
  </si>
  <si>
    <t xml:space="preserve">    Investor Relations</t>
  </si>
  <si>
    <t xml:space="preserve">    Legal &amp; Accounting</t>
  </si>
  <si>
    <t xml:space="preserve">   Office &amp; Insurance</t>
  </si>
  <si>
    <t xml:space="preserve">   Advertising &amp; Promotion</t>
  </si>
  <si>
    <t xml:space="preserve">   Industries Association</t>
  </si>
  <si>
    <t xml:space="preserve">   Royalty to BSL</t>
  </si>
  <si>
    <t xml:space="preserve">      Total Expenses</t>
  </si>
  <si>
    <t>% Sales</t>
  </si>
  <si>
    <t>Net Before Tax</t>
  </si>
  <si>
    <t>Estimated Tax- 30% of EBIT</t>
  </si>
  <si>
    <t>Net</t>
  </si>
  <si>
    <t>Shares Issued &amp; outstanding</t>
  </si>
  <si>
    <t>Earnings per Share</t>
  </si>
  <si>
    <t>Cash Flow</t>
  </si>
  <si>
    <t>From Operations</t>
  </si>
  <si>
    <t>Closing Balance</t>
  </si>
  <si>
    <t>Estimated Share Price based on Industry</t>
  </si>
  <si>
    <t>Multiple of 24.5 X earnings per share</t>
  </si>
  <si>
    <t>% on income not on total expenditures profiled in use of proceeds</t>
  </si>
  <si>
    <t>Opening Balance</t>
  </si>
  <si>
    <t>Liters</t>
  </si>
  <si>
    <t>$13.33 per Ltr</t>
  </si>
  <si>
    <t>Sales(in liters)</t>
  </si>
  <si>
    <t xml:space="preserve">Less Cost </t>
  </si>
  <si>
    <t>Brilliant Spirits and Solutions, Inc.</t>
  </si>
  <si>
    <t>Legal &amp;</t>
  </si>
  <si>
    <t>Expected</t>
  </si>
  <si>
    <t>Salaries</t>
  </si>
  <si>
    <t>Total US, Canada, Asia, Europe &amp; South America</t>
  </si>
  <si>
    <t>Sales (@ 13.33 per Liter)</t>
  </si>
  <si>
    <t>multiple of 32 X earnings per share</t>
  </si>
  <si>
    <t xml:space="preserve">Cost $3.33 </t>
  </si>
  <si>
    <t>Cost $3.33</t>
  </si>
  <si>
    <t>principals</t>
  </si>
  <si>
    <t>Royalty to</t>
  </si>
  <si>
    <t>Royalty</t>
  </si>
  <si>
    <t>to WDS</t>
  </si>
  <si>
    <t xml:space="preserve">Payment </t>
  </si>
  <si>
    <t>fees to WDS</t>
  </si>
  <si>
    <t xml:space="preserve">   Payment of fees to WDS: USA &amp; Canada only</t>
  </si>
  <si>
    <t>Breakdown</t>
  </si>
  <si>
    <t>Less: Contingency</t>
  </si>
  <si>
    <t>* Warrants execised through unit offering 2004</t>
  </si>
  <si>
    <t>Revenue Projections  WORLDWIDE SALES</t>
  </si>
  <si>
    <t>Fiscal 2003- 2007</t>
  </si>
  <si>
    <t>Fiscal Year End 2003- 2007</t>
  </si>
  <si>
    <t>Payment to BSL Principals</t>
  </si>
  <si>
    <t xml:space="preserve">   Fixed Cost (one time expense)</t>
  </si>
  <si>
    <t>Travel</t>
  </si>
  <si>
    <t xml:space="preserve">   Travel Expenses</t>
  </si>
  <si>
    <t>** Directors warrants exersised</t>
  </si>
  <si>
    <t>Warrants exercised at $1.50*</t>
  </si>
  <si>
    <t>***Net fully subcribed</t>
  </si>
  <si>
    <t>Less commisions fully subscribed</t>
  </si>
  <si>
    <t>*</t>
  </si>
  <si>
    <t>**</t>
  </si>
  <si>
    <t>***</t>
  </si>
  <si>
    <t xml:space="preserve">Tax Loss Carried Forward </t>
  </si>
  <si>
    <t>Expenses*</t>
  </si>
  <si>
    <t>* Plus one time fixed expense 762,000</t>
  </si>
  <si>
    <t xml:space="preserve">Based on Liters - Projected Consolidated Sales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</si>
</sst>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"/>
    <numFmt numFmtId="169" formatCode="&quot;$&quot;#,##0.00"/>
    <numFmt numFmtId="170" formatCode="_-&quot;$&quot;* #,##0.000_-;\-&quot;$&quot;* #,##0.000_-;_-&quot;$&quot;* &quot;-&quot;??_-;_-@_-"/>
    <numFmt numFmtId="171" formatCode="\2000"/>
    <numFmt numFmtId="172" formatCode="&quot;£&quot;#,##0.00;\-&quot;£&quot;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\ %"/>
    <numFmt numFmtId="187" formatCode="0.E+00"/>
    <numFmt numFmtId="188" formatCode="&quot;$&quot;#,##0.0"/>
  </numFmts>
  <fonts count="32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2"/>
      <name val="Helv"/>
      <family val="0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7"/>
      <name val="Arial"/>
      <family val="0"/>
    </font>
    <font>
      <b/>
      <sz val="20.5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.5"/>
      <name val="Times New Roman"/>
      <family val="1"/>
    </font>
    <font>
      <sz val="11.5"/>
      <name val="Arial"/>
      <family val="0"/>
    </font>
    <font>
      <b/>
      <sz val="11.5"/>
      <name val="Helv"/>
      <family val="0"/>
    </font>
    <font>
      <i/>
      <sz val="11.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2" borderId="1" applyFont="0" applyFill="0" applyBorder="0" applyProtection="0">
      <alignment vertical="center"/>
    </xf>
    <xf numFmtId="0" fontId="2" fillId="3" borderId="0" applyBorder="0">
      <alignment horizontal="left" vertical="center" indent="1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" fillId="4" borderId="2" applyBorder="0" applyAlignment="0">
      <protection/>
    </xf>
    <xf numFmtId="168" fontId="5" fillId="5" borderId="3" applyBorder="0">
      <alignment horizontal="left" vertical="center" indent="1"/>
      <protection/>
    </xf>
    <xf numFmtId="37" fontId="4" fillId="4" borderId="2" applyBorder="0">
      <alignment horizontal="left" vertical="center" indent="1"/>
      <protection/>
    </xf>
    <xf numFmtId="0" fontId="5" fillId="6" borderId="4" applyNumberFormat="0" applyBorder="0">
      <alignment horizontal="left" vertical="top" indent="1"/>
      <protection/>
    </xf>
    <xf numFmtId="0" fontId="5" fillId="2" borderId="0" applyBorder="0">
      <alignment horizontal="left" vertical="center" indent="1"/>
      <protection/>
    </xf>
    <xf numFmtId="0" fontId="5" fillId="0" borderId="4" applyNumberFormat="0" applyFill="0">
      <alignment horizontal="centerContinuous" vertical="top"/>
      <protection/>
    </xf>
    <xf numFmtId="0" fontId="6" fillId="2" borderId="5" applyNumberFormat="0" applyBorder="0">
      <alignment horizontal="left" vertical="center" indent="1"/>
      <protection/>
    </xf>
    <xf numFmtId="0" fontId="7" fillId="0" borderId="0" applyNumberFormat="0" applyFill="0" applyBorder="0" applyAlignment="0" applyProtection="0"/>
    <xf numFmtId="0" fontId="8" fillId="5" borderId="0">
      <alignment horizontal="left" indent="1"/>
      <protection/>
    </xf>
    <xf numFmtId="169" fontId="1" fillId="2" borderId="6" applyBorder="0">
      <alignment horizontal="left" vertical="center" indent="2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3" borderId="0">
      <alignment horizontal="left" indent="1"/>
      <protection/>
    </xf>
    <xf numFmtId="0" fontId="11" fillId="3" borderId="0" applyBorder="0">
      <alignment horizontal="left" vertical="center" indent="1"/>
      <protection/>
    </xf>
    <xf numFmtId="0" fontId="12" fillId="7" borderId="0" applyBorder="0">
      <alignment horizontal="left" vertical="center" indent="1"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2" borderId="0" xfId="32" applyFont="1" applyFill="1" applyAlignment="1">
      <alignment horizontal="center"/>
      <protection/>
    </xf>
    <xf numFmtId="0" fontId="20" fillId="2" borderId="0" xfId="32" applyFont="1" applyFill="1" applyAlignment="1">
      <alignment horizontal="center"/>
      <protection/>
    </xf>
    <xf numFmtId="0" fontId="18" fillId="2" borderId="0" xfId="32" applyFont="1" applyFill="1" applyBorder="1" applyAlignment="1" applyProtection="1">
      <alignment horizontal="center"/>
      <protection/>
    </xf>
    <xf numFmtId="0" fontId="21" fillId="2" borderId="0" xfId="32" applyFont="1" applyFill="1" applyBorder="1" applyAlignment="1" applyProtection="1">
      <alignment horizontal="center"/>
      <protection/>
    </xf>
    <xf numFmtId="168" fontId="22" fillId="2" borderId="0" xfId="32" applyNumberFormat="1" applyFont="1" applyFill="1" applyBorder="1" applyAlignment="1">
      <alignment horizontal="right"/>
      <protection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 indent="2"/>
    </xf>
    <xf numFmtId="0" fontId="23" fillId="0" borderId="7" xfId="0" applyFont="1" applyBorder="1" applyAlignment="1">
      <alignment horizontal="left" indent="2"/>
    </xf>
    <xf numFmtId="0" fontId="24" fillId="0" borderId="1" xfId="0" applyFont="1" applyBorder="1" applyAlignment="1">
      <alignment/>
    </xf>
    <xf numFmtId="0" fontId="15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9" fontId="15" fillId="0" borderId="6" xfId="0" applyNumberFormat="1" applyFont="1" applyBorder="1" applyAlignment="1">
      <alignment/>
    </xf>
    <xf numFmtId="9" fontId="15" fillId="0" borderId="9" xfId="0" applyNumberFormat="1" applyFont="1" applyBorder="1" applyAlignment="1">
      <alignment/>
    </xf>
    <xf numFmtId="168" fontId="15" fillId="0" borderId="1" xfId="0" applyNumberFormat="1" applyFont="1" applyBorder="1" applyAlignment="1">
      <alignment/>
    </xf>
    <xf numFmtId="0" fontId="15" fillId="0" borderId="10" xfId="0" applyFont="1" applyBorder="1" applyAlignment="1">
      <alignment horizontal="left" indent="2"/>
    </xf>
    <xf numFmtId="0" fontId="15" fillId="0" borderId="11" xfId="0" applyFont="1" applyBorder="1" applyAlignment="1">
      <alignment/>
    </xf>
    <xf numFmtId="3" fontId="15" fillId="0" borderId="12" xfId="0" applyNumberFormat="1" applyFont="1" applyBorder="1" applyAlignment="1">
      <alignment/>
    </xf>
    <xf numFmtId="10" fontId="15" fillId="0" borderId="0" xfId="0" applyNumberFormat="1" applyFont="1" applyBorder="1" applyAlignment="1">
      <alignment/>
    </xf>
    <xf numFmtId="10" fontId="15" fillId="0" borderId="13" xfId="0" applyNumberFormat="1" applyFont="1" applyBorder="1" applyAlignment="1">
      <alignment/>
    </xf>
    <xf numFmtId="0" fontId="15" fillId="0" borderId="1" xfId="0" applyFont="1" applyBorder="1" applyAlignment="1">
      <alignment horizontal="left" indent="2"/>
    </xf>
    <xf numFmtId="10" fontId="15" fillId="0" borderId="6" xfId="0" applyNumberFormat="1" applyFont="1" applyBorder="1" applyAlignment="1">
      <alignment/>
    </xf>
    <xf numFmtId="10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 horizontal="left" indent="2"/>
    </xf>
    <xf numFmtId="0" fontId="15" fillId="0" borderId="15" xfId="0" applyFont="1" applyBorder="1" applyAlignment="1">
      <alignment/>
    </xf>
    <xf numFmtId="3" fontId="15" fillId="0" borderId="16" xfId="0" applyNumberFormat="1" applyFont="1" applyBorder="1" applyAlignment="1">
      <alignment/>
    </xf>
    <xf numFmtId="10" fontId="15" fillId="0" borderId="7" xfId="0" applyNumberFormat="1" applyFont="1" applyBorder="1" applyAlignment="1">
      <alignment/>
    </xf>
    <xf numFmtId="10" fontId="15" fillId="0" borderId="16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0" fontId="15" fillId="0" borderId="17" xfId="0" applyNumberFormat="1" applyFont="1" applyBorder="1" applyAlignment="1">
      <alignment/>
    </xf>
    <xf numFmtId="0" fontId="24" fillId="0" borderId="2" xfId="0" applyFont="1" applyBorder="1" applyAlignment="1">
      <alignment/>
    </xf>
    <xf numFmtId="0" fontId="15" fillId="0" borderId="18" xfId="0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15" fillId="0" borderId="9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69" fontId="1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169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15" fillId="0" borderId="14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3" fillId="0" borderId="8" xfId="0" applyFont="1" applyBorder="1" applyAlignment="1">
      <alignment/>
    </xf>
    <xf numFmtId="169" fontId="24" fillId="0" borderId="9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9" xfId="0" applyFont="1" applyBorder="1" applyAlignment="1">
      <alignment/>
    </xf>
    <xf numFmtId="0" fontId="23" fillId="0" borderId="6" xfId="0" applyFont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2" borderId="0" xfId="32" applyFont="1" applyFill="1" applyProtection="1">
      <alignment/>
      <protection/>
    </xf>
    <xf numFmtId="0" fontId="13" fillId="2" borderId="0" xfId="32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15" fillId="0" borderId="1" xfId="0" applyFont="1" applyBorder="1" applyAlignment="1">
      <alignment/>
    </xf>
    <xf numFmtId="169" fontId="15" fillId="0" borderId="6" xfId="0" applyNumberFormat="1" applyFont="1" applyBorder="1" applyAlignment="1">
      <alignment/>
    </xf>
    <xf numFmtId="168" fontId="15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26" fillId="2" borderId="0" xfId="32" applyFont="1" applyFill="1" applyBorder="1" applyAlignment="1" applyProtection="1">
      <alignment horizontal="center"/>
      <protection/>
    </xf>
    <xf numFmtId="0" fontId="27" fillId="2" borderId="0" xfId="0" applyFont="1" applyFill="1" applyAlignment="1">
      <alignment/>
    </xf>
    <xf numFmtId="0" fontId="27" fillId="0" borderId="0" xfId="0" applyFont="1" applyAlignment="1">
      <alignment/>
    </xf>
    <xf numFmtId="0" fontId="28" fillId="2" borderId="0" xfId="32" applyFont="1" applyFill="1" applyBorder="1" applyAlignment="1">
      <alignment horizontal="right"/>
      <protection/>
    </xf>
    <xf numFmtId="0" fontId="28" fillId="2" borderId="0" xfId="32" applyFont="1" applyFill="1" applyBorder="1" applyAlignment="1">
      <alignment horizontal="center"/>
      <protection/>
    </xf>
    <xf numFmtId="0" fontId="27" fillId="2" borderId="0" xfId="0" applyFont="1" applyFill="1" applyBorder="1" applyAlignment="1">
      <alignment horizontal="right"/>
    </xf>
    <xf numFmtId="9" fontId="26" fillId="2" borderId="0" xfId="32" applyNumberFormat="1" applyFont="1" applyFill="1" applyBorder="1" applyAlignment="1">
      <alignment horizontal="right"/>
      <protection/>
    </xf>
    <xf numFmtId="0" fontId="26" fillId="2" borderId="0" xfId="32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" fontId="26" fillId="2" borderId="0" xfId="32" applyNumberFormat="1" applyFont="1" applyFill="1" applyBorder="1" applyAlignment="1">
      <alignment horizontal="center"/>
      <protection/>
    </xf>
    <xf numFmtId="3" fontId="26" fillId="2" borderId="0" xfId="32" applyNumberFormat="1" applyFont="1" applyFill="1" applyBorder="1" applyAlignment="1">
      <alignment horizontal="right"/>
      <protection/>
    </xf>
    <xf numFmtId="168" fontId="26" fillId="2" borderId="0" xfId="32" applyNumberFormat="1" applyFont="1" applyFill="1" applyBorder="1" applyAlignment="1">
      <alignment horizontal="right"/>
      <protection/>
    </xf>
    <xf numFmtId="169" fontId="26" fillId="0" borderId="0" xfId="0" applyNumberFormat="1" applyFont="1" applyAlignment="1">
      <alignment/>
    </xf>
    <xf numFmtId="169" fontId="26" fillId="0" borderId="0" xfId="0" applyNumberFormat="1" applyFont="1" applyAlignment="1">
      <alignment horizontal="center"/>
    </xf>
    <xf numFmtId="0" fontId="26" fillId="2" borderId="0" xfId="32" applyFont="1" applyFill="1" applyBorder="1" applyAlignment="1" applyProtection="1">
      <alignment horizontal="right"/>
      <protection/>
    </xf>
    <xf numFmtId="0" fontId="27" fillId="2" borderId="0" xfId="0" applyFont="1" applyFill="1" applyAlignment="1">
      <alignment horizontal="right"/>
    </xf>
    <xf numFmtId="9" fontId="26" fillId="2" borderId="0" xfId="32" applyNumberFormat="1" applyFont="1" applyFill="1" applyBorder="1" applyAlignment="1">
      <alignment horizontal="center"/>
      <protection/>
    </xf>
    <xf numFmtId="3" fontId="27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right"/>
    </xf>
    <xf numFmtId="42" fontId="26" fillId="2" borderId="0" xfId="32" applyNumberFormat="1" applyFont="1" applyFill="1" applyBorder="1" applyAlignment="1">
      <alignment horizontal="right"/>
      <protection/>
    </xf>
    <xf numFmtId="0" fontId="27" fillId="2" borderId="0" xfId="0" applyFont="1" applyFill="1" applyAlignment="1">
      <alignment/>
    </xf>
    <xf numFmtId="0" fontId="30" fillId="2" borderId="0" xfId="32" applyFont="1" applyFill="1" applyProtection="1">
      <alignment/>
      <protection/>
    </xf>
    <xf numFmtId="0" fontId="30" fillId="2" borderId="0" xfId="32" applyFont="1" applyFill="1" applyBorder="1" applyProtection="1">
      <alignment/>
      <protection/>
    </xf>
    <xf numFmtId="0" fontId="13" fillId="2" borderId="0" xfId="32" applyFont="1" applyFill="1" applyBorder="1" applyAlignment="1" applyProtection="1">
      <alignment horizontal="left"/>
      <protection/>
    </xf>
  </cellXfs>
  <cellStyles count="23">
    <cellStyle name="Normal" xfId="0"/>
    <cellStyle name="amount" xfId="15"/>
    <cellStyle name="Body text" xfId="16"/>
    <cellStyle name="Comma" xfId="17"/>
    <cellStyle name="Comma [0]" xfId="18"/>
    <cellStyle name="Currency" xfId="19"/>
    <cellStyle name="Currency [0]" xfId="20"/>
    <cellStyle name="Followed Hyperlink" xfId="21"/>
    <cellStyle name="header" xfId="22"/>
    <cellStyle name="Header Total" xfId="23"/>
    <cellStyle name="header_Balance Sheet, Two Years (Quarterly)1" xfId="24"/>
    <cellStyle name="Header1" xfId="25"/>
    <cellStyle name="Header2" xfId="26"/>
    <cellStyle name="Header3" xfId="27"/>
    <cellStyle name="Header4" xfId="28"/>
    <cellStyle name="Hyperlink" xfId="29"/>
    <cellStyle name="NonPrint_Heading" xfId="30"/>
    <cellStyle name="Normal 2" xfId="31"/>
    <cellStyle name="Normal_Sheet1" xfId="32"/>
    <cellStyle name="Percent" xfId="33"/>
    <cellStyle name="Product Title" xfId="34"/>
    <cellStyle name="Text" xfId="35"/>
    <cellStyle name="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Cost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9"/>
          <c:w val="0.975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BSL!$B$46:$B$50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BSL!$D$46:$D$50</c:f>
              <c:numCache>
                <c:ptCount val="5"/>
                <c:pt idx="0">
                  <c:v>2915215.2</c:v>
                </c:pt>
                <c:pt idx="1">
                  <c:v>5177707.11</c:v>
                </c:pt>
                <c:pt idx="2">
                  <c:v>9320670</c:v>
                </c:pt>
                <c:pt idx="3">
                  <c:v>13546440</c:v>
                </c:pt>
                <c:pt idx="4">
                  <c:v>18037534.410000004</c:v>
                </c:pt>
              </c:numCache>
            </c:numRef>
          </c:val>
        </c:ser>
        <c:axId val="31729100"/>
        <c:axId val="17126445"/>
      </c:barChart>
      <c:catAx>
        <c:axId val="3172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445"/>
        <c:crosses val="autoZero"/>
        <c:auto val="1"/>
        <c:lblOffset val="100"/>
        <c:noMultiLvlLbl val="0"/>
      </c:catAx>
      <c:valAx>
        <c:axId val="17126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9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Net Revenue </a:t>
            </a:r>
          </a:p>
        </c:rich>
      </c:tx>
      <c:layout>
        <c:manualLayout>
          <c:xMode val="factor"/>
          <c:yMode val="factor"/>
          <c:x val="0.025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525"/>
          <c:w val="0.975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('Rev BSL'!$C$5,'Rev BSL'!$E$5,'Rev BSL'!$G$5,'Rev BSL'!$I$5,'Rev BSL'!$K$5)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('Rev BSL'!$C$28,'Rev BSL'!$E$28,'Rev BSL'!$G$28,'Rev BSL'!$I$28,'Rev BSL'!$K$28)</c:f>
              <c:numCache>
                <c:ptCount val="5"/>
                <c:pt idx="0">
                  <c:v>2899722</c:v>
                </c:pt>
                <c:pt idx="1">
                  <c:v>6829930.1</c:v>
                </c:pt>
                <c:pt idx="2">
                  <c:v>13925842.7</c:v>
                </c:pt>
                <c:pt idx="3">
                  <c:v>25458192.200000003</c:v>
                </c:pt>
                <c:pt idx="4">
                  <c:v>35252315.07</c:v>
                </c:pt>
              </c:numCache>
            </c:numRef>
          </c:val>
        </c:ser>
        <c:axId val="19920278"/>
        <c:axId val="45064775"/>
      </c:barChart>
      <c:catAx>
        <c:axId val="1992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64775"/>
        <c:crosses val="autoZero"/>
        <c:auto val="1"/>
        <c:lblOffset val="100"/>
        <c:noMultiLvlLbl val="0"/>
      </c:catAx>
      <c:valAx>
        <c:axId val="4506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20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9057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79152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75" zoomScaleNormal="75" workbookViewId="0" topLeftCell="A7">
      <selection activeCell="B13" sqref="B13"/>
    </sheetView>
  </sheetViews>
  <sheetFormatPr defaultColWidth="9.140625" defaultRowHeight="12.75"/>
  <cols>
    <col min="2" max="2" width="27.28125" style="0" customWidth="1"/>
    <col min="3" max="3" width="11.7109375" style="0" customWidth="1"/>
    <col min="4" max="4" width="9.28125" style="0" bestFit="1" customWidth="1"/>
    <col min="5" max="5" width="10.421875" style="0" customWidth="1"/>
    <col min="6" max="6" width="9.28125" style="0" bestFit="1" customWidth="1"/>
    <col min="7" max="7" width="10.57421875" style="0" customWidth="1"/>
    <col min="8" max="8" width="11.7109375" style="0" bestFit="1" customWidth="1"/>
    <col min="9" max="9" width="12.28125" style="0" customWidth="1"/>
    <col min="10" max="10" width="12.57421875" style="0" customWidth="1"/>
    <col min="11" max="11" width="11.7109375" style="0" bestFit="1" customWidth="1"/>
    <col min="12" max="12" width="12.421875" style="0" customWidth="1"/>
    <col min="13" max="13" width="14.421875" style="0" customWidth="1"/>
    <col min="14" max="14" width="12.8515625" style="0" customWidth="1"/>
    <col min="15" max="15" width="11.7109375" style="0" customWidth="1"/>
  </cols>
  <sheetData>
    <row r="1" spans="1:12" ht="15">
      <c r="A1" s="75" t="s">
        <v>59</v>
      </c>
      <c r="B1" s="75"/>
      <c r="C1" s="7"/>
      <c r="D1" s="8"/>
      <c r="E1" s="9"/>
      <c r="F1" s="9"/>
      <c r="G1" s="8"/>
      <c r="H1" s="8"/>
      <c r="I1" s="8"/>
      <c r="J1" s="8"/>
      <c r="K1" s="8"/>
      <c r="L1" s="8"/>
    </row>
    <row r="2" spans="1:12" ht="15">
      <c r="A2" s="75" t="s">
        <v>78</v>
      </c>
      <c r="B2" s="75"/>
      <c r="C2" s="7"/>
      <c r="F2" s="69"/>
      <c r="G2" s="10"/>
      <c r="H2" s="8"/>
      <c r="I2" s="10"/>
      <c r="J2" s="8"/>
      <c r="K2" s="8"/>
      <c r="L2" s="8"/>
    </row>
    <row r="3" spans="1:12" ht="15">
      <c r="A3" s="76" t="s">
        <v>28</v>
      </c>
      <c r="B3" s="76"/>
      <c r="C3" s="11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77" t="s">
        <v>80</v>
      </c>
      <c r="B4" s="78"/>
      <c r="C4" s="12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13" t="s">
        <v>15</v>
      </c>
      <c r="B5" s="14"/>
      <c r="C5" s="15">
        <v>2003</v>
      </c>
      <c r="D5" s="16" t="s">
        <v>29</v>
      </c>
      <c r="E5" s="15">
        <v>2004</v>
      </c>
      <c r="F5" s="16" t="s">
        <v>29</v>
      </c>
      <c r="G5" s="15">
        <v>2005</v>
      </c>
      <c r="H5" s="16" t="s">
        <v>29</v>
      </c>
      <c r="I5" s="15">
        <v>2006</v>
      </c>
      <c r="J5" s="16" t="s">
        <v>29</v>
      </c>
      <c r="K5" s="15">
        <v>2007</v>
      </c>
      <c r="L5" s="17" t="s">
        <v>29</v>
      </c>
    </row>
    <row r="6" spans="1:12" ht="12.75">
      <c r="A6" s="18" t="s">
        <v>57</v>
      </c>
      <c r="B6" s="14"/>
      <c r="C6" s="19">
        <f>SUM(BSL!C46)</f>
        <v>875440</v>
      </c>
      <c r="D6" s="16"/>
      <c r="E6" s="19">
        <f>SUM(BSL!C47)</f>
        <v>1554867</v>
      </c>
      <c r="F6" s="16"/>
      <c r="G6" s="19">
        <f>SUM(BSL!C48)</f>
        <v>2799000</v>
      </c>
      <c r="H6" s="16"/>
      <c r="I6" s="19">
        <f>SUM(BSL!C49)</f>
        <v>4068000</v>
      </c>
      <c r="J6" s="16"/>
      <c r="K6" s="19">
        <f>SUM(BSL!C50)</f>
        <v>5416677</v>
      </c>
      <c r="L6" s="17"/>
    </row>
    <row r="7" spans="1:12" ht="12.75">
      <c r="A7" s="18" t="s">
        <v>64</v>
      </c>
      <c r="B7" s="14"/>
      <c r="C7" s="19">
        <f>SUM(C6*13.33)</f>
        <v>11669615.2</v>
      </c>
      <c r="D7" s="20"/>
      <c r="E7" s="19">
        <f>SUM(E6*13.33)</f>
        <v>20726377.11</v>
      </c>
      <c r="F7" s="20"/>
      <c r="G7" s="19">
        <f>SUM(G6*13.33)</f>
        <v>37310670</v>
      </c>
      <c r="H7" s="20"/>
      <c r="I7" s="19">
        <f>SUM(I6*13.33)</f>
        <v>54226440</v>
      </c>
      <c r="J7" s="20"/>
      <c r="K7" s="19">
        <f>SUM(K6*13.33)</f>
        <v>72204304.41</v>
      </c>
      <c r="L7" s="17"/>
    </row>
    <row r="8" spans="1:13" ht="12.75">
      <c r="A8" s="18"/>
      <c r="B8" s="14"/>
      <c r="C8" s="19"/>
      <c r="D8" s="20"/>
      <c r="E8" s="19"/>
      <c r="F8" s="20"/>
      <c r="G8" s="19"/>
      <c r="H8" s="20"/>
      <c r="I8" s="19"/>
      <c r="J8" s="20"/>
      <c r="K8" s="19"/>
      <c r="L8" s="17"/>
      <c r="M8" s="1"/>
    </row>
    <row r="9" spans="1:12" ht="12.75">
      <c r="A9" s="13" t="s">
        <v>30</v>
      </c>
      <c r="B9" s="14"/>
      <c r="C9" s="19">
        <f>C7</f>
        <v>11669615.2</v>
      </c>
      <c r="D9" s="20"/>
      <c r="E9" s="19">
        <f>E7</f>
        <v>20726377.11</v>
      </c>
      <c r="F9" s="20"/>
      <c r="G9" s="19">
        <f>G7</f>
        <v>37310670</v>
      </c>
      <c r="H9" s="20"/>
      <c r="I9" s="19">
        <f>I7</f>
        <v>54226440</v>
      </c>
      <c r="J9" s="20"/>
      <c r="K9" s="19">
        <f>K7</f>
        <v>72204304.41</v>
      </c>
      <c r="L9" s="17"/>
    </row>
    <row r="10" spans="1:12" ht="12.75">
      <c r="A10" s="18" t="s">
        <v>58</v>
      </c>
      <c r="B10" s="14"/>
      <c r="C10" s="21">
        <f>SUM(C6*3.33)</f>
        <v>2915215.2</v>
      </c>
      <c r="D10" s="22">
        <f>SUM(C10/C7)</f>
        <v>0.24981245311327835</v>
      </c>
      <c r="E10" s="21">
        <f>SUM(E6*3.33)</f>
        <v>5177707.11</v>
      </c>
      <c r="F10" s="22">
        <f>SUM(E10/E7)</f>
        <v>0.24981245311327835</v>
      </c>
      <c r="G10" s="21">
        <f>SUM(G6*3.33)</f>
        <v>9320670</v>
      </c>
      <c r="H10" s="22">
        <f>SUM(G10/G9)</f>
        <v>0.24981245311327832</v>
      </c>
      <c r="I10" s="21">
        <f>SUM(I6*3.33)</f>
        <v>13546440</v>
      </c>
      <c r="J10" s="22">
        <f>SUM(I10/I9)</f>
        <v>0.24981245311327832</v>
      </c>
      <c r="K10" s="21">
        <f>SUM(K6*3.33)</f>
        <v>18037534.41</v>
      </c>
      <c r="L10" s="23">
        <f>SUM(K10/K9)</f>
        <v>0.24981245311327832</v>
      </c>
    </row>
    <row r="11" spans="1:12" ht="12.75">
      <c r="A11" s="13" t="s">
        <v>31</v>
      </c>
      <c r="B11" s="14"/>
      <c r="C11" s="21">
        <f>SUM(C9-C10)</f>
        <v>8754400</v>
      </c>
      <c r="D11" s="22">
        <f>SUM(C11/C9)</f>
        <v>0.7501875468867217</v>
      </c>
      <c r="E11" s="21">
        <f>SUM(E9-E10)</f>
        <v>15548670</v>
      </c>
      <c r="F11" s="22">
        <f>SUM(E11/E9)</f>
        <v>0.7501875468867217</v>
      </c>
      <c r="G11" s="21">
        <f>SUM(G9-G10)</f>
        <v>27990000</v>
      </c>
      <c r="H11" s="22">
        <f>SUM(G11/G9)</f>
        <v>0.7501875468867217</v>
      </c>
      <c r="I11" s="21">
        <f>SUM(I9-I10)</f>
        <v>40680000</v>
      </c>
      <c r="J11" s="22">
        <f>SUM(I11/I9)</f>
        <v>0.7501875468867217</v>
      </c>
      <c r="K11" s="21">
        <f>SUM(K9-K10)</f>
        <v>54166770</v>
      </c>
      <c r="L11" s="23">
        <f>SUM(K11/K9)</f>
        <v>0.7501875468867217</v>
      </c>
    </row>
    <row r="12" spans="1:12" ht="12.75">
      <c r="A12" s="24"/>
      <c r="B12" s="14"/>
      <c r="C12" s="17"/>
      <c r="D12" s="16"/>
      <c r="E12" s="17"/>
      <c r="F12" s="16"/>
      <c r="G12" s="17"/>
      <c r="H12" s="16"/>
      <c r="I12" s="17"/>
      <c r="J12" s="16"/>
      <c r="K12" s="17"/>
      <c r="L12" s="17"/>
    </row>
    <row r="13" spans="1:12" ht="12.75">
      <c r="A13" s="18" t="s">
        <v>32</v>
      </c>
      <c r="B13" s="14"/>
      <c r="C13" s="19"/>
      <c r="D13" s="16" t="s">
        <v>33</v>
      </c>
      <c r="E13" s="17"/>
      <c r="F13" s="16" t="s">
        <v>33</v>
      </c>
      <c r="G13" s="17"/>
      <c r="H13" s="16" t="s">
        <v>33</v>
      </c>
      <c r="I13" s="17"/>
      <c r="J13" s="16" t="s">
        <v>33</v>
      </c>
      <c r="K13" s="17"/>
      <c r="L13" s="17" t="s">
        <v>33</v>
      </c>
    </row>
    <row r="14" spans="1:12" ht="12.75">
      <c r="A14" s="25" t="s">
        <v>34</v>
      </c>
      <c r="B14" s="26"/>
      <c r="C14" s="27">
        <f>SUM(BSL!H46)</f>
        <v>480000</v>
      </c>
      <c r="D14" s="28">
        <f>SUM(C14/C24)</f>
        <v>0.10407767663933182</v>
      </c>
      <c r="E14" s="27">
        <f>SUM(BSL!H47)</f>
        <v>528000</v>
      </c>
      <c r="F14" s="28">
        <f>SUM(E14/E24)</f>
        <v>0.0911660920152489</v>
      </c>
      <c r="G14" s="27">
        <f>SUM(BSL!H48)</f>
        <v>580800</v>
      </c>
      <c r="H14" s="28">
        <f>SUM(G14/G24)</f>
        <v>0.07173967096342994</v>
      </c>
      <c r="I14" s="27">
        <f>SUM(BSL!H49)</f>
        <v>638880</v>
      </c>
      <c r="J14" s="28">
        <f>SUM(I14/I24)</f>
        <v>0.14819234014836863</v>
      </c>
      <c r="K14" s="27">
        <f>SUM(BSL!H50)</f>
        <v>702767</v>
      </c>
      <c r="L14" s="29">
        <f>SUM(K14/K24)</f>
        <v>0.1846316175369285</v>
      </c>
    </row>
    <row r="15" spans="1:12" ht="12.75">
      <c r="A15" s="30" t="s">
        <v>35</v>
      </c>
      <c r="B15" s="14"/>
      <c r="C15" s="19">
        <f>SUM(BSL!I46)</f>
        <v>75000</v>
      </c>
      <c r="D15" s="31">
        <f>SUM(C15/C24)</f>
        <v>0.016262136974895598</v>
      </c>
      <c r="E15" s="19">
        <f>SUM(BSL!I47)</f>
        <v>75000</v>
      </c>
      <c r="F15" s="31">
        <f>SUM(E15/E24)</f>
        <v>0.012949728979438765</v>
      </c>
      <c r="G15" s="19">
        <f>SUM(BSL!I48)</f>
        <v>75000</v>
      </c>
      <c r="H15" s="31">
        <f>SUM(G15/G24)</f>
        <v>0.00926390379176523</v>
      </c>
      <c r="I15" s="19">
        <f>SUM(BSL!I49)</f>
        <v>75000</v>
      </c>
      <c r="J15" s="31">
        <f>SUM(I15/I24)</f>
        <v>0.01739673414589226</v>
      </c>
      <c r="K15" s="19">
        <f>SUM(BSL!I50)</f>
        <v>75000</v>
      </c>
      <c r="L15" s="32">
        <f>SUM(K15/K24)</f>
        <v>0.019704071641482364</v>
      </c>
    </row>
    <row r="16" spans="1:12" ht="12.75">
      <c r="A16" s="30" t="s">
        <v>36</v>
      </c>
      <c r="B16" s="14"/>
      <c r="C16" s="19">
        <f>SUM(BSL!J46)</f>
        <v>150000</v>
      </c>
      <c r="D16" s="31">
        <f>SUM(C16/C24)</f>
        <v>0.032524273949791196</v>
      </c>
      <c r="E16" s="19">
        <f>SUM(BSL!J47)</f>
        <v>163500</v>
      </c>
      <c r="F16" s="31">
        <f>SUM(E16/E24)</f>
        <v>0.02823040917517651</v>
      </c>
      <c r="G16" s="19">
        <f>SUM(BSL!J48)</f>
        <v>178215</v>
      </c>
      <c r="H16" s="31">
        <f>SUM(G16/G24)</f>
        <v>0.022012888189992537</v>
      </c>
      <c r="I16" s="19">
        <f>SUM(BSL!J49)</f>
        <v>186254</v>
      </c>
      <c r="J16" s="31">
        <f>SUM(I16/I24)</f>
        <v>0.04320281762145356</v>
      </c>
      <c r="K16" s="19">
        <f>SUM(BSL!J50)</f>
        <v>203016</v>
      </c>
      <c r="L16" s="32">
        <f>SUM(K16/K24)</f>
        <v>0.05333655744489579</v>
      </c>
    </row>
    <row r="17" spans="1:12" ht="12.75">
      <c r="A17" s="30" t="s">
        <v>37</v>
      </c>
      <c r="B17" s="14"/>
      <c r="C17" s="19">
        <f>SUM(BSL!K46)</f>
        <v>134000</v>
      </c>
      <c r="D17" s="31">
        <f>SUM(C17/C24)</f>
        <v>0.029055018061813466</v>
      </c>
      <c r="E17" s="19">
        <f>SUM(BSL!K47)</f>
        <v>139360</v>
      </c>
      <c r="F17" s="31">
        <f>SUM(E17/E24)</f>
        <v>0.024062323074327818</v>
      </c>
      <c r="G17" s="19">
        <f>SUM(BSL!K48)</f>
        <v>144934</v>
      </c>
      <c r="H17" s="31">
        <f>SUM(G17/G24)</f>
        <v>0.017902061762076024</v>
      </c>
      <c r="I17" s="19">
        <f>SUM(BSL!K49)</f>
        <v>150731</v>
      </c>
      <c r="J17" s="31">
        <f>SUM(I17/I24)</f>
        <v>0.03496302846059315</v>
      </c>
      <c r="K17" s="19">
        <f>SUM(BSL!K50)</f>
        <v>156759</v>
      </c>
      <c r="L17" s="32">
        <f>SUM(K17/K24)</f>
        <v>0.04118387421929512</v>
      </c>
    </row>
    <row r="18" spans="1:12" ht="12.75">
      <c r="A18" s="30" t="s">
        <v>84</v>
      </c>
      <c r="B18" s="14"/>
      <c r="C18" s="19">
        <f>SUM(BSL!L46)</f>
        <v>150000</v>
      </c>
      <c r="D18" s="31">
        <f>SUM(C18/C24)</f>
        <v>0.032524273949791196</v>
      </c>
      <c r="E18" s="19">
        <f>SUM(BSL!L47)</f>
        <v>180000</v>
      </c>
      <c r="F18" s="31">
        <f>SUM(E18/E24)</f>
        <v>0.031079349550653036</v>
      </c>
      <c r="G18" s="19">
        <f>SUM(BSL!L48)</f>
        <v>216000</v>
      </c>
      <c r="H18" s="31">
        <f>SUM(G18/G24)</f>
        <v>0.02668004292028386</v>
      </c>
      <c r="I18" s="19">
        <f>SUM(BSL!L49)</f>
        <v>259200</v>
      </c>
      <c r="J18" s="31">
        <f>SUM(I18/I24)</f>
        <v>0.06012311320820365</v>
      </c>
      <c r="K18" s="19">
        <f>SUM(BSL!L50)</f>
        <v>311040</v>
      </c>
      <c r="L18" s="32">
        <f>SUM(K18/K24)</f>
        <v>0.08171672591155567</v>
      </c>
    </row>
    <row r="19" spans="1:12" ht="12.75">
      <c r="A19" s="30" t="s">
        <v>38</v>
      </c>
      <c r="B19" s="14"/>
      <c r="C19" s="19">
        <f>SUM(BSL!M46)</f>
        <v>1219000</v>
      </c>
      <c r="D19" s="31">
        <f>SUM(C19/C24)</f>
        <v>0.2643139329653031</v>
      </c>
      <c r="E19" s="19">
        <f>SUM(BSL!M47)</f>
        <v>1840900</v>
      </c>
      <c r="F19" s="31">
        <f>SUM(E19/E24)</f>
        <v>0.317855414376651</v>
      </c>
      <c r="G19" s="19">
        <f>SUM(BSL!M48)</f>
        <v>1974990.0000000002</v>
      </c>
      <c r="H19" s="31">
        <f>SUM(G19/G24)</f>
        <v>0.24394823132931218</v>
      </c>
      <c r="I19" s="19">
        <f>SUM(BSL!M49)</f>
        <v>2122489.0000000005</v>
      </c>
      <c r="J19" s="31">
        <f>SUM(I19/I24)</f>
        <v>0.492325024807743</v>
      </c>
      <c r="K19" s="19">
        <f>SUM(BSL!M50)</f>
        <v>2284737.9000000004</v>
      </c>
      <c r="L19" s="32">
        <f>SUM(K19/K24)</f>
        <v>0.6002485235147997</v>
      </c>
    </row>
    <row r="20" spans="1:12" ht="12.75">
      <c r="A20" s="33" t="s">
        <v>74</v>
      </c>
      <c r="B20" s="34"/>
      <c r="C20" s="35">
        <f>SUM(BSL!N10)</f>
        <v>720000</v>
      </c>
      <c r="D20" s="36">
        <f>SUM(C20/C24)</f>
        <v>0.15611651495899773</v>
      </c>
      <c r="E20" s="35">
        <f>SUM(BSL!N11)</f>
        <v>1260000</v>
      </c>
      <c r="F20" s="36">
        <f>SUM(E20/E24)</f>
        <v>0.21755544685457126</v>
      </c>
      <c r="G20" s="35">
        <f>SUM(BSL!N12)</f>
        <v>2070000</v>
      </c>
      <c r="H20" s="36">
        <f>SUM(G20/G24)</f>
        <v>0.2556837446527203</v>
      </c>
      <c r="I20" s="35"/>
      <c r="J20" s="36"/>
      <c r="K20" s="35"/>
      <c r="L20" s="37"/>
    </row>
    <row r="21" spans="1:12" ht="12.75">
      <c r="A21" s="33" t="s">
        <v>39</v>
      </c>
      <c r="B21" s="34"/>
      <c r="C21" s="35">
        <f>SUM(BSL!O46)</f>
        <v>46500</v>
      </c>
      <c r="D21" s="36">
        <f>SUM(C21/C24)</f>
        <v>0.01008252492443527</v>
      </c>
      <c r="E21" s="35">
        <f>SUM(BSL!O47)</f>
        <v>50000</v>
      </c>
      <c r="F21" s="36">
        <f>SUM(E21/E24)</f>
        <v>0.008633152652959178</v>
      </c>
      <c r="G21" s="35">
        <f>SUM(BSL!O48)</f>
        <v>57000</v>
      </c>
      <c r="H21" s="36">
        <f>SUM(G21/G24)</f>
        <v>0.0070405668817415746</v>
      </c>
      <c r="I21" s="35">
        <f>SUM(BSL!O49)</f>
        <v>65000</v>
      </c>
      <c r="J21" s="36">
        <f>SUM(I21/I24)</f>
        <v>0.015077169593106626</v>
      </c>
      <c r="K21" s="35">
        <f>SUM(BSL!O50)</f>
        <v>73000</v>
      </c>
      <c r="L21" s="37">
        <f>SUM(K21/K24)</f>
        <v>0.019178629731042836</v>
      </c>
    </row>
    <row r="22" spans="1:12" ht="12.75">
      <c r="A22" s="25" t="s">
        <v>40</v>
      </c>
      <c r="B22" s="34"/>
      <c r="C22" s="35">
        <f>SUM(BSL!G46)</f>
        <v>875440</v>
      </c>
      <c r="D22" s="36">
        <f>SUM(C22/C24)</f>
        <v>0.18982033591070135</v>
      </c>
      <c r="E22" s="35">
        <f>SUM(BSL!G47)</f>
        <v>1554867</v>
      </c>
      <c r="F22" s="36">
        <f>SUM(E22/E24)</f>
        <v>0.26846808332097355</v>
      </c>
      <c r="G22" s="35">
        <f>SUM(BSL!G48)</f>
        <v>2799000</v>
      </c>
      <c r="H22" s="36">
        <f>SUM(G22/G24)</f>
        <v>0.34572888950867836</v>
      </c>
      <c r="I22" s="35">
        <v>813600</v>
      </c>
      <c r="J22" s="36">
        <f>SUM(I22/I24)</f>
        <v>0.18871977201463924</v>
      </c>
      <c r="K22" s="35">
        <v>0</v>
      </c>
      <c r="L22" s="32">
        <f>SUM(K22/K24)</f>
        <v>0</v>
      </c>
    </row>
    <row r="23" spans="1:12" ht="12.75">
      <c r="A23" s="25" t="s">
        <v>82</v>
      </c>
      <c r="B23" s="34"/>
      <c r="C23" s="35">
        <v>762000</v>
      </c>
      <c r="D23" s="36">
        <f>SUM(C23/C24)</f>
        <v>0.16522331166493925</v>
      </c>
      <c r="E23" s="35"/>
      <c r="F23" s="36"/>
      <c r="G23" s="35"/>
      <c r="H23" s="36"/>
      <c r="I23" s="35"/>
      <c r="J23" s="36"/>
      <c r="K23" s="35"/>
      <c r="L23" s="32"/>
    </row>
    <row r="24" spans="1:12" ht="12.75">
      <c r="A24" s="38" t="s">
        <v>41</v>
      </c>
      <c r="B24" s="39"/>
      <c r="C24" s="19">
        <f aca="true" t="shared" si="0" ref="C24:L24">SUM(C14:C23)</f>
        <v>4611940</v>
      </c>
      <c r="D24" s="31">
        <f t="shared" si="0"/>
        <v>1</v>
      </c>
      <c r="E24" s="19">
        <f t="shared" si="0"/>
        <v>5791627</v>
      </c>
      <c r="F24" s="31">
        <f t="shared" si="0"/>
        <v>1</v>
      </c>
      <c r="G24" s="19">
        <f t="shared" si="0"/>
        <v>8095939</v>
      </c>
      <c r="H24" s="31">
        <f t="shared" si="0"/>
        <v>1</v>
      </c>
      <c r="I24" s="19">
        <f t="shared" si="0"/>
        <v>4311154</v>
      </c>
      <c r="J24" s="31">
        <f t="shared" si="0"/>
        <v>1.0000000000000002</v>
      </c>
      <c r="K24" s="19">
        <f t="shared" si="0"/>
        <v>3806319.9000000004</v>
      </c>
      <c r="L24" s="32">
        <f t="shared" si="0"/>
        <v>0.9999999999999999</v>
      </c>
    </row>
    <row r="25" spans="1:12" ht="12.75">
      <c r="A25" s="40"/>
      <c r="B25" s="41"/>
      <c r="C25" s="19"/>
      <c r="D25" s="19" t="s">
        <v>42</v>
      </c>
      <c r="E25" s="19"/>
      <c r="F25" s="19" t="s">
        <v>42</v>
      </c>
      <c r="G25" s="19"/>
      <c r="H25" s="19" t="s">
        <v>42</v>
      </c>
      <c r="I25" s="19"/>
      <c r="J25" s="19" t="s">
        <v>42</v>
      </c>
      <c r="L25" s="19" t="s">
        <v>42</v>
      </c>
    </row>
    <row r="26" spans="1:12" ht="12.75">
      <c r="A26" s="38" t="s">
        <v>43</v>
      </c>
      <c r="B26" s="42"/>
      <c r="C26" s="27">
        <f>SUM(C11-C24)</f>
        <v>4142460</v>
      </c>
      <c r="D26" s="43">
        <f>SUM(C26/C9)</f>
        <v>0.35497828583071017</v>
      </c>
      <c r="E26" s="27">
        <f aca="true" t="shared" si="1" ref="E26:K26">SUM(E11-E24)</f>
        <v>9757043</v>
      </c>
      <c r="F26" s="43">
        <f>SUM(E26/E9)</f>
        <v>0.47075487183394205</v>
      </c>
      <c r="G26" s="27">
        <f t="shared" si="1"/>
        <v>19894061</v>
      </c>
      <c r="H26" s="43">
        <f>SUM(G26/G7)</f>
        <v>0.5332003150841301</v>
      </c>
      <c r="I26" s="27">
        <f t="shared" si="1"/>
        <v>36368846</v>
      </c>
      <c r="J26" s="43">
        <f>SUM(I26/I9)</f>
        <v>0.6706847434572507</v>
      </c>
      <c r="K26" s="27">
        <f t="shared" si="1"/>
        <v>50360450.1</v>
      </c>
      <c r="L26" s="32">
        <f>SUM(K26/K9)</f>
        <v>0.6974715775120089</v>
      </c>
    </row>
    <row r="27" spans="1:12" ht="12.75">
      <c r="A27" s="18" t="s">
        <v>44</v>
      </c>
      <c r="B27" s="41"/>
      <c r="C27" s="19">
        <f>SUM(C26*30%)</f>
        <v>1242738</v>
      </c>
      <c r="D27" s="31">
        <f>SUM(C27/C9)</f>
        <v>0.10649348574921305</v>
      </c>
      <c r="E27" s="19">
        <f>SUM(E26*30%)</f>
        <v>2927112.9</v>
      </c>
      <c r="F27" s="31">
        <f>SUM(E27/E9)</f>
        <v>0.14122646155018262</v>
      </c>
      <c r="G27" s="19">
        <f>SUM(G26*30%)</f>
        <v>5968218.3</v>
      </c>
      <c r="H27" s="31">
        <f>SUM(G27/G9)</f>
        <v>0.15996009452523902</v>
      </c>
      <c r="I27" s="19">
        <f>SUM(I26*30%)</f>
        <v>10910653.799999999</v>
      </c>
      <c r="J27" s="31">
        <f>SUM(I27/I9)</f>
        <v>0.2012054230371752</v>
      </c>
      <c r="K27" s="19">
        <f>SUM(K26*30%)</f>
        <v>15108135.03</v>
      </c>
      <c r="L27" s="32">
        <f>SUM(K27/K9)</f>
        <v>0.20924147325360268</v>
      </c>
    </row>
    <row r="28" spans="1:12" ht="12.75">
      <c r="A28" s="13" t="s">
        <v>45</v>
      </c>
      <c r="B28" s="41"/>
      <c r="C28" s="19">
        <f>SUM(C26-C27)</f>
        <v>2899722</v>
      </c>
      <c r="D28" s="31">
        <f>SUM(C28/C9)</f>
        <v>0.24848480008149712</v>
      </c>
      <c r="E28" s="19">
        <f>SUM(E26-E27)</f>
        <v>6829930.1</v>
      </c>
      <c r="F28" s="31">
        <f>SUM(E28/E9)</f>
        <v>0.3295284102837594</v>
      </c>
      <c r="G28" s="19">
        <f>SUM(G26-G27)</f>
        <v>13925842.7</v>
      </c>
      <c r="H28" s="31">
        <f>SUM(G28/G9)</f>
        <v>0.37324022055889106</v>
      </c>
      <c r="I28" s="19">
        <f>SUM(I26-I27)</f>
        <v>25458192.200000003</v>
      </c>
      <c r="J28" s="31">
        <f>SUM(I28/I9)</f>
        <v>0.46947932042007556</v>
      </c>
      <c r="K28" s="19">
        <f>SUM(K26-K27)</f>
        <v>35252315.07</v>
      </c>
      <c r="L28" s="32">
        <f>SUM(K28/K9)</f>
        <v>0.48823010425840624</v>
      </c>
    </row>
    <row r="29" spans="1:12" ht="12.75">
      <c r="A29" s="44"/>
      <c r="B29" s="45"/>
      <c r="C29" s="46"/>
      <c r="D29" s="28"/>
      <c r="E29" s="46"/>
      <c r="F29" s="28"/>
      <c r="G29" s="46"/>
      <c r="H29" s="28"/>
      <c r="I29" s="46"/>
      <c r="J29" s="28"/>
      <c r="K29" s="46"/>
      <c r="L29" s="29"/>
    </row>
    <row r="30" spans="1:12" ht="12.75">
      <c r="A30" s="18" t="s">
        <v>46</v>
      </c>
      <c r="B30" s="41"/>
      <c r="C30" s="47">
        <v>9060000</v>
      </c>
      <c r="D30" s="31"/>
      <c r="E30" s="47">
        <v>14060000</v>
      </c>
      <c r="F30" s="31"/>
      <c r="G30" s="47">
        <v>14060000</v>
      </c>
      <c r="H30" s="31"/>
      <c r="I30" s="47">
        <v>14060000</v>
      </c>
      <c r="J30" s="31"/>
      <c r="K30" s="47">
        <v>16880000</v>
      </c>
      <c r="L30" s="32"/>
    </row>
    <row r="31" spans="1:12" ht="12.75">
      <c r="A31" s="18" t="s">
        <v>47</v>
      </c>
      <c r="B31" s="48"/>
      <c r="C31" s="49">
        <f>SUM(C28/C30)</f>
        <v>0.32005761589403975</v>
      </c>
      <c r="D31" s="49"/>
      <c r="E31" s="49">
        <f aca="true" t="shared" si="2" ref="E31:K31">SUM(E28/E30)</f>
        <v>0.4857702773826458</v>
      </c>
      <c r="F31" s="49"/>
      <c r="G31" s="49">
        <f t="shared" si="2"/>
        <v>0.9904582290184921</v>
      </c>
      <c r="H31" s="49"/>
      <c r="I31" s="49">
        <f t="shared" si="2"/>
        <v>1.8106822332859178</v>
      </c>
      <c r="J31" s="49"/>
      <c r="K31" s="49">
        <f t="shared" si="2"/>
        <v>2.0884072908767775</v>
      </c>
      <c r="L31" s="50"/>
    </row>
    <row r="32" spans="1:12" ht="12.75">
      <c r="A32" s="51"/>
      <c r="B32" s="48"/>
      <c r="C32" s="52"/>
      <c r="D32" s="53"/>
      <c r="E32" s="52"/>
      <c r="F32" s="53"/>
      <c r="G32" s="52"/>
      <c r="H32" s="53"/>
      <c r="I32" s="52"/>
      <c r="J32" s="53"/>
      <c r="K32" s="52"/>
      <c r="L32" s="50"/>
    </row>
    <row r="33" spans="1:12" ht="12.75">
      <c r="A33" s="13" t="s">
        <v>48</v>
      </c>
      <c r="B33" s="48"/>
      <c r="C33" s="52"/>
      <c r="D33" s="53"/>
      <c r="E33" s="52"/>
      <c r="F33" s="53"/>
      <c r="G33" s="52"/>
      <c r="H33" s="53"/>
      <c r="I33" s="52"/>
      <c r="J33" s="53"/>
      <c r="K33" s="52"/>
      <c r="L33" s="50"/>
    </row>
    <row r="34" spans="1:12" ht="12.75">
      <c r="A34" s="18" t="s">
        <v>86</v>
      </c>
      <c r="B34" s="48"/>
      <c r="D34" s="80"/>
      <c r="E34" s="21">
        <v>7500000</v>
      </c>
      <c r="F34" s="80" t="s">
        <v>89</v>
      </c>
      <c r="G34" s="49"/>
      <c r="H34" s="80"/>
      <c r="I34" s="49"/>
      <c r="J34" s="80"/>
      <c r="K34" s="21">
        <v>2820000</v>
      </c>
      <c r="L34" s="50" t="s">
        <v>90</v>
      </c>
    </row>
    <row r="35" spans="1:12" ht="12.75">
      <c r="A35" s="30" t="s">
        <v>54</v>
      </c>
      <c r="B35" s="48"/>
      <c r="C35" s="19">
        <v>6250000</v>
      </c>
      <c r="D35" s="54"/>
      <c r="E35" s="19">
        <f>SUM(C40)</f>
        <v>7699722</v>
      </c>
      <c r="F35" s="53"/>
      <c r="G35" s="19">
        <f>SUM(E40)</f>
        <v>21429652.1</v>
      </c>
      <c r="H35" s="53"/>
      <c r="I35" s="19">
        <f>SUM(G40)</f>
        <v>34755494.8</v>
      </c>
      <c r="J35" s="53"/>
      <c r="K35" s="19">
        <f>SUM(I40)</f>
        <v>60113687</v>
      </c>
      <c r="L35" s="50"/>
    </row>
    <row r="36" spans="1:12" ht="12.75">
      <c r="A36" s="33" t="s">
        <v>88</v>
      </c>
      <c r="B36" s="55"/>
      <c r="C36" s="81">
        <v>5400000</v>
      </c>
      <c r="D36" s="82" t="s">
        <v>91</v>
      </c>
      <c r="E36" s="35"/>
      <c r="F36" s="56"/>
      <c r="G36" s="19"/>
      <c r="H36" s="56"/>
      <c r="I36" s="19"/>
      <c r="J36" s="56"/>
      <c r="K36" s="19"/>
      <c r="L36" s="57"/>
    </row>
    <row r="37" spans="1:12" ht="12.75">
      <c r="A37" s="33" t="s">
        <v>49</v>
      </c>
      <c r="B37" s="55"/>
      <c r="C37" s="35">
        <f>SUM(C28)</f>
        <v>2899722</v>
      </c>
      <c r="D37" s="56"/>
      <c r="E37" s="35">
        <f>SUM(E28)</f>
        <v>6829930.1</v>
      </c>
      <c r="F37" s="56"/>
      <c r="G37" s="19">
        <f>SUM(G28)</f>
        <v>13925842.7</v>
      </c>
      <c r="H37" s="56"/>
      <c r="I37" s="19">
        <f>SUM(I28)</f>
        <v>25458192.200000003</v>
      </c>
      <c r="J37" s="56"/>
      <c r="K37" s="19">
        <f>SUM(K28)</f>
        <v>35252315.07</v>
      </c>
      <c r="L37" s="57"/>
    </row>
    <row r="38" spans="1:12" ht="12.75">
      <c r="A38" s="33" t="s">
        <v>81</v>
      </c>
      <c r="B38" s="55"/>
      <c r="C38" s="35">
        <v>500000</v>
      </c>
      <c r="D38" s="70"/>
      <c r="E38" s="35">
        <v>500000</v>
      </c>
      <c r="F38" s="56"/>
      <c r="G38" s="19">
        <v>500000</v>
      </c>
      <c r="H38" s="56"/>
      <c r="I38" s="19"/>
      <c r="J38" s="56"/>
      <c r="K38" s="19"/>
      <c r="L38" s="57"/>
    </row>
    <row r="39" spans="1:12" ht="12.75">
      <c r="A39" s="58" t="s">
        <v>76</v>
      </c>
      <c r="B39" s="55"/>
      <c r="C39" s="35">
        <v>100000</v>
      </c>
      <c r="D39" s="56"/>
      <c r="E39" s="35">
        <v>100000</v>
      </c>
      <c r="F39" s="56"/>
      <c r="G39" s="19">
        <v>100000</v>
      </c>
      <c r="H39" s="56"/>
      <c r="I39" s="19">
        <v>100000</v>
      </c>
      <c r="J39" s="56"/>
      <c r="K39" s="19">
        <v>100000</v>
      </c>
      <c r="L39" s="57"/>
    </row>
    <row r="40" spans="1:12" ht="12.75">
      <c r="A40" s="59" t="s">
        <v>50</v>
      </c>
      <c r="B40" s="48"/>
      <c r="C40" s="19">
        <f>SUM(C36+C37-C38-C39)</f>
        <v>7699722</v>
      </c>
      <c r="D40" s="50"/>
      <c r="E40" s="19">
        <f>SUM(E34+E35+E37-E38-E39)</f>
        <v>21429652.1</v>
      </c>
      <c r="F40" s="53"/>
      <c r="G40" s="19">
        <f>SUM(G35+G37-G38-G39)</f>
        <v>34755494.8</v>
      </c>
      <c r="H40" s="53"/>
      <c r="I40" s="19">
        <f>SUM(I35+I37-I39)</f>
        <v>60113687</v>
      </c>
      <c r="J40" s="53"/>
      <c r="K40" s="19">
        <f>SUM(K34+K35+K37-K39)</f>
        <v>98086002.07</v>
      </c>
      <c r="L40" s="48"/>
    </row>
    <row r="41" spans="1:12" ht="12.75">
      <c r="A41" s="60"/>
      <c r="B41" s="48"/>
      <c r="C41" s="19"/>
      <c r="D41" s="50"/>
      <c r="E41" s="19"/>
      <c r="F41" s="53"/>
      <c r="G41" s="52"/>
      <c r="H41" s="53"/>
      <c r="I41" s="52"/>
      <c r="J41" s="53"/>
      <c r="K41" s="52"/>
      <c r="L41" s="48"/>
    </row>
    <row r="42" spans="1:12" s="64" customFormat="1" ht="12.75">
      <c r="A42" s="61" t="s">
        <v>51</v>
      </c>
      <c r="B42" s="62"/>
      <c r="C42" s="63">
        <f>SUM(C31*24.5)</f>
        <v>7.8414115894039735</v>
      </c>
      <c r="D42" s="63"/>
      <c r="E42" s="63">
        <f>SUM(E31*24.5)</f>
        <v>11.901371795874821</v>
      </c>
      <c r="F42" s="63"/>
      <c r="G42" s="63">
        <f>SUM(G31*24.5)</f>
        <v>24.26622661095306</v>
      </c>
      <c r="H42" s="63"/>
      <c r="I42" s="63">
        <f>SUM(I31*32)</f>
        <v>57.94183146514937</v>
      </c>
      <c r="J42" s="63"/>
      <c r="K42" s="63">
        <f>SUM(K31*32)</f>
        <v>66.82903330805688</v>
      </c>
      <c r="L42" s="62"/>
    </row>
    <row r="43" spans="1:12" s="64" customFormat="1" ht="12.75">
      <c r="A43" s="61" t="s">
        <v>52</v>
      </c>
      <c r="B43" s="62"/>
      <c r="C43" s="65"/>
      <c r="D43" s="65"/>
      <c r="E43" s="65"/>
      <c r="F43" s="66"/>
      <c r="G43" s="65"/>
      <c r="H43" s="66"/>
      <c r="I43" s="61" t="s">
        <v>65</v>
      </c>
      <c r="J43" s="66"/>
      <c r="K43" s="65"/>
      <c r="L43" s="62"/>
    </row>
    <row r="45" spans="1:4" ht="12.75">
      <c r="A45" s="67" t="s">
        <v>53</v>
      </c>
      <c r="B45" s="16"/>
      <c r="C45" s="68"/>
      <c r="D45" s="68"/>
    </row>
    <row r="46" spans="1:2" ht="12.75">
      <c r="A46" s="79" t="s">
        <v>77</v>
      </c>
      <c r="B46" s="53"/>
    </row>
    <row r="47" spans="1:2" ht="12.75">
      <c r="A47" s="79" t="s">
        <v>85</v>
      </c>
      <c r="B47" s="53"/>
    </row>
    <row r="48" spans="1:2" ht="12.75">
      <c r="A48" s="79" t="s">
        <v>87</v>
      </c>
      <c r="B48" s="53"/>
    </row>
  </sheetData>
  <printOptions horizontalCentered="1" verticalCentered="1"/>
  <pageMargins left="0.31" right="0" top="0" bottom="0" header="0" footer="0"/>
  <pageSetup fitToHeight="1" fitToWidth="1"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5" zoomScaleNormal="75" workbookViewId="0" topLeftCell="A7">
      <selection activeCell="I47" sqref="I47"/>
    </sheetView>
  </sheetViews>
  <sheetFormatPr defaultColWidth="9.140625" defaultRowHeight="12.75"/>
  <cols>
    <col min="2" max="2" width="27.28125" style="0" customWidth="1"/>
    <col min="3" max="3" width="11.7109375" style="0" customWidth="1"/>
    <col min="4" max="4" width="9.28125" style="0" bestFit="1" customWidth="1"/>
    <col min="5" max="5" width="10.421875" style="0" customWidth="1"/>
    <col min="6" max="6" width="9.28125" style="0" bestFit="1" customWidth="1"/>
    <col min="7" max="7" width="10.57421875" style="0" customWidth="1"/>
    <col min="8" max="8" width="11.57421875" style="0" bestFit="1" customWidth="1"/>
    <col min="9" max="9" width="12.28125" style="0" customWidth="1"/>
    <col min="10" max="10" width="12.57421875" style="0" customWidth="1"/>
    <col min="11" max="11" width="11.7109375" style="0" bestFit="1" customWidth="1"/>
    <col min="12" max="12" width="12.421875" style="0" customWidth="1"/>
    <col min="13" max="13" width="14.421875" style="0" customWidth="1"/>
    <col min="14" max="14" width="12.8515625" style="0" customWidth="1"/>
    <col min="15" max="15" width="11.7109375" style="0" customWidth="1"/>
  </cols>
  <sheetData>
    <row r="1" spans="1:12" ht="15">
      <c r="A1" s="75" t="s">
        <v>59</v>
      </c>
      <c r="B1" s="75"/>
      <c r="C1" s="7"/>
      <c r="D1" s="8"/>
      <c r="E1" s="9"/>
      <c r="F1" s="9"/>
      <c r="G1" s="8"/>
      <c r="H1" s="8"/>
      <c r="I1" s="8"/>
      <c r="J1" s="8"/>
      <c r="K1" s="8"/>
      <c r="L1" s="8"/>
    </row>
    <row r="2" spans="1:12" ht="15">
      <c r="A2" s="75" t="s">
        <v>78</v>
      </c>
      <c r="B2" s="75"/>
      <c r="C2" s="7"/>
      <c r="F2" s="69"/>
      <c r="G2" s="10"/>
      <c r="H2" s="8"/>
      <c r="I2" s="10"/>
      <c r="J2" s="8"/>
      <c r="K2" s="8"/>
      <c r="L2" s="8"/>
    </row>
    <row r="3" spans="1:12" ht="15">
      <c r="A3" s="76" t="s">
        <v>28</v>
      </c>
      <c r="B3" s="76"/>
      <c r="C3" s="11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76" t="s">
        <v>92</v>
      </c>
      <c r="B4" s="76"/>
      <c r="C4" s="11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77" t="s">
        <v>80</v>
      </c>
      <c r="B5" s="78"/>
      <c r="C5" s="12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3" t="s">
        <v>15</v>
      </c>
      <c r="B6" s="14"/>
      <c r="C6" s="15">
        <v>2003</v>
      </c>
      <c r="D6" s="16" t="s">
        <v>29</v>
      </c>
      <c r="E6" s="15">
        <v>2004</v>
      </c>
      <c r="F6" s="16" t="s">
        <v>29</v>
      </c>
      <c r="G6" s="15">
        <v>2005</v>
      </c>
      <c r="H6" s="16" t="s">
        <v>29</v>
      </c>
      <c r="I6" s="15">
        <v>2006</v>
      </c>
      <c r="J6" s="16" t="s">
        <v>29</v>
      </c>
      <c r="K6" s="15">
        <v>2007</v>
      </c>
      <c r="L6" s="17" t="s">
        <v>29</v>
      </c>
    </row>
    <row r="7" spans="1:12" ht="12.75">
      <c r="A7" s="18" t="s">
        <v>57</v>
      </c>
      <c r="B7" s="14"/>
      <c r="C7" s="19">
        <f>SUM(BSL!C46)</f>
        <v>875440</v>
      </c>
      <c r="D7" s="16"/>
      <c r="E7" s="19">
        <f>SUM(BSL!C47)</f>
        <v>1554867</v>
      </c>
      <c r="F7" s="16"/>
      <c r="G7" s="19">
        <f>SUM(BSL!C48)</f>
        <v>2799000</v>
      </c>
      <c r="H7" s="16"/>
      <c r="I7" s="19">
        <f>SUM(BSL!C49)</f>
        <v>4068000</v>
      </c>
      <c r="J7" s="16"/>
      <c r="K7" s="19">
        <f>SUM(BSL!C50)</f>
        <v>5416677</v>
      </c>
      <c r="L7" s="17"/>
    </row>
    <row r="8" spans="1:13" ht="12.75">
      <c r="A8" s="18" t="s">
        <v>64</v>
      </c>
      <c r="B8" s="14"/>
      <c r="C8" s="19">
        <f>SUM(C7*13.33)</f>
        <v>11669615.2</v>
      </c>
      <c r="D8" s="20"/>
      <c r="E8" s="19">
        <f>SUM(E7*13.33)</f>
        <v>20726377.11</v>
      </c>
      <c r="F8" s="20"/>
      <c r="G8" s="19">
        <f>SUM(G7*13.33)</f>
        <v>37310670</v>
      </c>
      <c r="H8" s="20"/>
      <c r="I8" s="19">
        <f>SUM(I7*13.33)</f>
        <v>54226440</v>
      </c>
      <c r="J8" s="20"/>
      <c r="K8" s="19">
        <f>SUM(K7*13.33)</f>
        <v>72204304.41</v>
      </c>
      <c r="L8" s="17"/>
      <c r="M8" s="1"/>
    </row>
    <row r="9" spans="1:12" ht="12.75">
      <c r="A9" s="18"/>
      <c r="B9" s="14"/>
      <c r="C9" s="19"/>
      <c r="D9" s="20"/>
      <c r="E9" s="19"/>
      <c r="F9" s="20"/>
      <c r="G9" s="19"/>
      <c r="H9" s="20"/>
      <c r="I9" s="19"/>
      <c r="J9" s="20"/>
      <c r="K9" s="19"/>
      <c r="L9" s="17"/>
    </row>
    <row r="10" spans="1:12" ht="12.75">
      <c r="A10" s="13" t="s">
        <v>30</v>
      </c>
      <c r="B10" s="14"/>
      <c r="C10" s="19">
        <f>C8</f>
        <v>11669615.2</v>
      </c>
      <c r="D10" s="20"/>
      <c r="E10" s="19">
        <f>E8</f>
        <v>20726377.11</v>
      </c>
      <c r="F10" s="20"/>
      <c r="G10" s="19">
        <f>G8</f>
        <v>37310670</v>
      </c>
      <c r="H10" s="20"/>
      <c r="I10" s="19">
        <f>I8</f>
        <v>54226440</v>
      </c>
      <c r="J10" s="20"/>
      <c r="K10" s="19">
        <f>K8</f>
        <v>72204304.41</v>
      </c>
      <c r="L10" s="17"/>
    </row>
    <row r="11" spans="1:12" ht="12.75">
      <c r="A11" s="18" t="s">
        <v>58</v>
      </c>
      <c r="B11" s="14"/>
      <c r="C11" s="21">
        <f>SUM(C7*3.33)</f>
        <v>2915215.2</v>
      </c>
      <c r="D11" s="22">
        <f>SUM(C11/C8)</f>
        <v>0.24981245311327835</v>
      </c>
      <c r="E11" s="21">
        <f>SUM(E7*3.33)</f>
        <v>5177707.11</v>
      </c>
      <c r="F11" s="22">
        <f>SUM(E11/E8)</f>
        <v>0.24981245311327835</v>
      </c>
      <c r="G11" s="21">
        <f>SUM(G7*3.33)</f>
        <v>9320670</v>
      </c>
      <c r="H11" s="22">
        <f>SUM(G11/G10)</f>
        <v>0.24981245311327832</v>
      </c>
      <c r="I11" s="21">
        <f>SUM(I7*3.33)</f>
        <v>13546440</v>
      </c>
      <c r="J11" s="22">
        <f>SUM(I11/I10)</f>
        <v>0.24981245311327832</v>
      </c>
      <c r="K11" s="21">
        <f>SUM(K7*3.33)</f>
        <v>18037534.41</v>
      </c>
      <c r="L11" s="23">
        <f>SUM(K11/K10)</f>
        <v>0.24981245311327832</v>
      </c>
    </row>
    <row r="12" spans="1:12" ht="12.75">
      <c r="A12" s="13" t="s">
        <v>31</v>
      </c>
      <c r="B12" s="14"/>
      <c r="C12" s="21">
        <f>SUM(C10-C11)</f>
        <v>8754400</v>
      </c>
      <c r="D12" s="22">
        <f>SUM(C12/C10)</f>
        <v>0.7501875468867217</v>
      </c>
      <c r="E12" s="21">
        <f>SUM(E10-E11)</f>
        <v>15548670</v>
      </c>
      <c r="F12" s="22">
        <f>SUM(E12/E10)</f>
        <v>0.7501875468867217</v>
      </c>
      <c r="G12" s="21">
        <f>SUM(G10-G11)</f>
        <v>27990000</v>
      </c>
      <c r="H12" s="22">
        <f>SUM(G12/G10)</f>
        <v>0.7501875468867217</v>
      </c>
      <c r="I12" s="21">
        <f>SUM(I10-I11)</f>
        <v>40680000</v>
      </c>
      <c r="J12" s="22">
        <f>SUM(I12/I10)</f>
        <v>0.7501875468867217</v>
      </c>
      <c r="K12" s="21">
        <f>SUM(K10-K11)</f>
        <v>54166770</v>
      </c>
      <c r="L12" s="23">
        <f>SUM(K12/K10)</f>
        <v>0.7501875468867217</v>
      </c>
    </row>
    <row r="13" spans="1:12" ht="12.75">
      <c r="A13" s="24"/>
      <c r="B13" s="14"/>
      <c r="C13" s="17"/>
      <c r="D13" s="16"/>
      <c r="E13" s="17"/>
      <c r="F13" s="16"/>
      <c r="G13" s="17"/>
      <c r="H13" s="16"/>
      <c r="I13" s="17"/>
      <c r="J13" s="16"/>
      <c r="K13" s="17"/>
      <c r="L13" s="17"/>
    </row>
    <row r="14" spans="1:12" ht="12.75">
      <c r="A14" s="18" t="s">
        <v>32</v>
      </c>
      <c r="B14" s="14"/>
      <c r="C14" s="19"/>
      <c r="D14" s="16" t="s">
        <v>33</v>
      </c>
      <c r="E14" s="17"/>
      <c r="F14" s="16" t="s">
        <v>33</v>
      </c>
      <c r="G14" s="17"/>
      <c r="H14" s="16" t="s">
        <v>33</v>
      </c>
      <c r="I14" s="17"/>
      <c r="J14" s="16" t="s">
        <v>33</v>
      </c>
      <c r="K14" s="17"/>
      <c r="L14" s="17" t="s">
        <v>33</v>
      </c>
    </row>
    <row r="15" spans="1:12" ht="12.75">
      <c r="A15" s="25" t="s">
        <v>34</v>
      </c>
      <c r="B15" s="26"/>
      <c r="C15" s="27">
        <f>SUM(BSL!H46)</f>
        <v>480000</v>
      </c>
      <c r="D15" s="28">
        <f>SUM(C15/C25)</f>
        <v>0.10407767663933182</v>
      </c>
      <c r="E15" s="27">
        <f>SUM(BSL!H47)</f>
        <v>528000</v>
      </c>
      <c r="F15" s="28">
        <f>SUM(E15/E25)</f>
        <v>0.0911660920152489</v>
      </c>
      <c r="G15" s="27">
        <f>SUM(BSL!H48)</f>
        <v>580800</v>
      </c>
      <c r="H15" s="28">
        <f>SUM(G15/G25)</f>
        <v>0.08319392478083171</v>
      </c>
      <c r="I15" s="27">
        <f>SUM(BSL!H49)</f>
        <v>638880</v>
      </c>
      <c r="J15" s="28">
        <f>SUM(I15/I25)</f>
        <v>0.14819234014836863</v>
      </c>
      <c r="K15" s="27">
        <f>SUM(BSL!H50)</f>
        <v>702767</v>
      </c>
      <c r="L15" s="29">
        <f>SUM(K15/K25)</f>
        <v>0.1846316175369285</v>
      </c>
    </row>
    <row r="16" spans="1:12" ht="12.75">
      <c r="A16" s="30" t="s">
        <v>35</v>
      </c>
      <c r="B16" s="14"/>
      <c r="C16" s="19">
        <f>SUM(BSL!I46)</f>
        <v>75000</v>
      </c>
      <c r="D16" s="31">
        <f>SUM(C16/C25)</f>
        <v>0.016262136974895598</v>
      </c>
      <c r="E16" s="19">
        <f>SUM(BSL!I47)</f>
        <v>75000</v>
      </c>
      <c r="F16" s="31">
        <f>SUM(E16/E25)</f>
        <v>0.012949728979438765</v>
      </c>
      <c r="G16" s="19">
        <f>SUM(BSL!I48)</f>
        <v>75000</v>
      </c>
      <c r="H16" s="31">
        <f>SUM(G16/G25)</f>
        <v>0.010743017146285087</v>
      </c>
      <c r="I16" s="19">
        <f>SUM(BSL!I49)</f>
        <v>75000</v>
      </c>
      <c r="J16" s="31">
        <f>SUM(I16/I25)</f>
        <v>0.01739673414589226</v>
      </c>
      <c r="K16" s="19">
        <f>SUM(BSL!I50)</f>
        <v>75000</v>
      </c>
      <c r="L16" s="32">
        <f>SUM(K16/K25)</f>
        <v>0.019704071641482364</v>
      </c>
    </row>
    <row r="17" spans="1:12" ht="12.75">
      <c r="A17" s="30" t="s">
        <v>36</v>
      </c>
      <c r="B17" s="14"/>
      <c r="C17" s="19">
        <f>SUM(BSL!J46)</f>
        <v>150000</v>
      </c>
      <c r="D17" s="31">
        <f>SUM(C17/C25)</f>
        <v>0.032524273949791196</v>
      </c>
      <c r="E17" s="19">
        <f>SUM(BSL!J47)</f>
        <v>163500</v>
      </c>
      <c r="F17" s="31">
        <f>SUM(E17/E25)</f>
        <v>0.02823040917517651</v>
      </c>
      <c r="G17" s="19">
        <f>SUM(BSL!J48)</f>
        <v>178215</v>
      </c>
      <c r="H17" s="31">
        <f>SUM(G17/G25)</f>
        <v>0.025527557343002622</v>
      </c>
      <c r="I17" s="19">
        <f>SUM(BSL!J49)</f>
        <v>186254</v>
      </c>
      <c r="J17" s="31">
        <f>SUM(I17/I25)</f>
        <v>0.04320281762145356</v>
      </c>
      <c r="K17" s="19">
        <f>SUM(BSL!J50)</f>
        <v>203016</v>
      </c>
      <c r="L17" s="32">
        <f>SUM(K17/K25)</f>
        <v>0.05333655744489579</v>
      </c>
    </row>
    <row r="18" spans="1:12" ht="12.75">
      <c r="A18" s="30" t="s">
        <v>37</v>
      </c>
      <c r="B18" s="14"/>
      <c r="C18" s="19">
        <f>SUM(BSL!K46)</f>
        <v>134000</v>
      </c>
      <c r="D18" s="31">
        <f>SUM(C18/C25)</f>
        <v>0.029055018061813466</v>
      </c>
      <c r="E18" s="19">
        <f>SUM(BSL!K47)</f>
        <v>139360</v>
      </c>
      <c r="F18" s="31">
        <f>SUM(E18/E25)</f>
        <v>0.024062323074327818</v>
      </c>
      <c r="G18" s="19">
        <f>SUM(BSL!K48)</f>
        <v>144934</v>
      </c>
      <c r="H18" s="31">
        <f>SUM(G18/G25)</f>
        <v>0.02076037929439577</v>
      </c>
      <c r="I18" s="19">
        <f>SUM(BSL!K49)</f>
        <v>150731</v>
      </c>
      <c r="J18" s="31">
        <f>SUM(I18/I25)</f>
        <v>0.03496302846059315</v>
      </c>
      <c r="K18" s="19">
        <f>SUM(BSL!K50)</f>
        <v>156759</v>
      </c>
      <c r="L18" s="32">
        <f>SUM(K18/K25)</f>
        <v>0.04118387421929512</v>
      </c>
    </row>
    <row r="19" spans="1:12" ht="12.75">
      <c r="A19" s="30" t="s">
        <v>84</v>
      </c>
      <c r="B19" s="14"/>
      <c r="C19" s="19">
        <f>SUM(BSL!L46)</f>
        <v>150000</v>
      </c>
      <c r="D19" s="31">
        <f>SUM(C19/C25)</f>
        <v>0.032524273949791196</v>
      </c>
      <c r="E19" s="19">
        <f>SUM(BSL!L47)</f>
        <v>180000</v>
      </c>
      <c r="F19" s="31">
        <f>SUM(E19/E25)</f>
        <v>0.031079349550653036</v>
      </c>
      <c r="G19" s="19">
        <f>SUM(BSL!L48)</f>
        <v>216000</v>
      </c>
      <c r="H19" s="31">
        <f>SUM(G19/G25)</f>
        <v>0.030939889381301048</v>
      </c>
      <c r="I19" s="19">
        <f>SUM(BSL!L49)</f>
        <v>259200</v>
      </c>
      <c r="J19" s="31">
        <f>SUM(I19/I25)</f>
        <v>0.06012311320820365</v>
      </c>
      <c r="K19" s="19">
        <f>SUM(BSL!L50)</f>
        <v>311040</v>
      </c>
      <c r="L19" s="32">
        <f>SUM(K19/K25)</f>
        <v>0.08171672591155567</v>
      </c>
    </row>
    <row r="20" spans="1:12" ht="12.75">
      <c r="A20" s="30" t="s">
        <v>38</v>
      </c>
      <c r="B20" s="14"/>
      <c r="C20" s="19">
        <f>SUM(BSL!M46)</f>
        <v>1219000</v>
      </c>
      <c r="D20" s="31">
        <f>SUM(C20/C25)</f>
        <v>0.2643139329653031</v>
      </c>
      <c r="E20" s="19">
        <f>SUM(BSL!M47)</f>
        <v>1840900</v>
      </c>
      <c r="F20" s="31">
        <f>SUM(E20/E25)</f>
        <v>0.317855414376651</v>
      </c>
      <c r="G20" s="19">
        <f>SUM(BSL!M48)</f>
        <v>1974990.0000000002</v>
      </c>
      <c r="H20" s="31">
        <f>SUM(G20/G25)</f>
        <v>0.2828980191165545</v>
      </c>
      <c r="I20" s="19">
        <f>SUM(BSL!M49)</f>
        <v>2122489.0000000005</v>
      </c>
      <c r="J20" s="31">
        <f>SUM(I20/I25)</f>
        <v>0.492325024807743</v>
      </c>
      <c r="K20" s="19">
        <f>SUM(BSL!M50)</f>
        <v>2284737.9000000004</v>
      </c>
      <c r="L20" s="32">
        <f>SUM(K20/K25)</f>
        <v>0.6002485235147997</v>
      </c>
    </row>
    <row r="21" spans="1:12" ht="12.75">
      <c r="A21" s="33" t="s">
        <v>74</v>
      </c>
      <c r="B21" s="34"/>
      <c r="C21" s="35">
        <f>SUM(BSL!N10)</f>
        <v>720000</v>
      </c>
      <c r="D21" s="36">
        <f>SUM(C21/C25)</f>
        <v>0.15611651495899773</v>
      </c>
      <c r="E21" s="35">
        <f>SUM(BSL!N11)</f>
        <v>1260000</v>
      </c>
      <c r="F21" s="36">
        <f>SUM(E21/E25)</f>
        <v>0.21755544685457126</v>
      </c>
      <c r="G21" s="35">
        <f>SUM(BSL!N12)</f>
        <v>2070000</v>
      </c>
      <c r="H21" s="36">
        <f>SUM(G21/G25)</f>
        <v>0.2965072732374684</v>
      </c>
      <c r="I21" s="35"/>
      <c r="J21" s="36"/>
      <c r="K21" s="35"/>
      <c r="L21" s="37"/>
    </row>
    <row r="22" spans="1:12" ht="12.75">
      <c r="A22" s="33" t="s">
        <v>39</v>
      </c>
      <c r="B22" s="34"/>
      <c r="C22" s="35">
        <f>SUM(BSL!O46)</f>
        <v>46500</v>
      </c>
      <c r="D22" s="36">
        <f>SUM(C22/C25)</f>
        <v>0.01008252492443527</v>
      </c>
      <c r="E22" s="35">
        <f>SUM(BSL!O47)</f>
        <v>50000</v>
      </c>
      <c r="F22" s="36">
        <f>SUM(E22/E25)</f>
        <v>0.008633152652959178</v>
      </c>
      <c r="G22" s="35">
        <f>SUM(BSL!O48)</f>
        <v>57000</v>
      </c>
      <c r="H22" s="36">
        <f>SUM(G22/G25)</f>
        <v>0.008164693031176666</v>
      </c>
      <c r="I22" s="35">
        <f>SUM(BSL!O49)</f>
        <v>65000</v>
      </c>
      <c r="J22" s="36">
        <f>SUM(I22/I25)</f>
        <v>0.015077169593106626</v>
      </c>
      <c r="K22" s="35">
        <f>SUM(BSL!O50)</f>
        <v>73000</v>
      </c>
      <c r="L22" s="37">
        <f>SUM(K22/K25)</f>
        <v>0.019178629731042836</v>
      </c>
    </row>
    <row r="23" spans="1:12" ht="12.75">
      <c r="A23" s="25" t="s">
        <v>40</v>
      </c>
      <c r="B23" s="34"/>
      <c r="C23" s="35">
        <f>SUM(BSL!G46)</f>
        <v>875440</v>
      </c>
      <c r="D23" s="36">
        <f>SUM(C23/C25)</f>
        <v>0.18982033591070135</v>
      </c>
      <c r="E23" s="35">
        <f>SUM(BSL!G47)</f>
        <v>1554867</v>
      </c>
      <c r="F23" s="36">
        <f>SUM(E23/E25)</f>
        <v>0.26846808332097355</v>
      </c>
      <c r="G23" s="35">
        <v>1684340</v>
      </c>
      <c r="H23" s="36">
        <f>SUM(G23/G25)</f>
        <v>0.2412652466689843</v>
      </c>
      <c r="I23" s="35">
        <v>813600</v>
      </c>
      <c r="J23" s="36">
        <f>SUM(I23/I25)</f>
        <v>0.18871977201463924</v>
      </c>
      <c r="K23" s="35">
        <v>0</v>
      </c>
      <c r="L23" s="32">
        <f>SUM(K23/K25)</f>
        <v>0</v>
      </c>
    </row>
    <row r="24" spans="1:12" ht="12.75">
      <c r="A24" s="25" t="s">
        <v>82</v>
      </c>
      <c r="B24" s="34"/>
      <c r="C24" s="35">
        <v>762000</v>
      </c>
      <c r="D24" s="36">
        <f>SUM(C24/C25)</f>
        <v>0.16522331166493925</v>
      </c>
      <c r="E24" s="35"/>
      <c r="F24" s="36"/>
      <c r="G24" s="35"/>
      <c r="H24" s="36"/>
      <c r="I24" s="35"/>
      <c r="J24" s="36"/>
      <c r="K24" s="35"/>
      <c r="L24" s="32"/>
    </row>
    <row r="25" spans="1:12" ht="12.75">
      <c r="A25" s="38" t="s">
        <v>41</v>
      </c>
      <c r="B25" s="39"/>
      <c r="C25" s="19">
        <f aca="true" t="shared" si="0" ref="C25:L25">SUM(C15:C24)</f>
        <v>4611940</v>
      </c>
      <c r="D25" s="31">
        <f t="shared" si="0"/>
        <v>1</v>
      </c>
      <c r="E25" s="19">
        <f t="shared" si="0"/>
        <v>5791627</v>
      </c>
      <c r="F25" s="31">
        <f t="shared" si="0"/>
        <v>1</v>
      </c>
      <c r="G25" s="19">
        <f t="shared" si="0"/>
        <v>6981279</v>
      </c>
      <c r="H25" s="31">
        <f t="shared" si="0"/>
        <v>1</v>
      </c>
      <c r="I25" s="19">
        <f t="shared" si="0"/>
        <v>4311154</v>
      </c>
      <c r="J25" s="31">
        <f t="shared" si="0"/>
        <v>1.0000000000000002</v>
      </c>
      <c r="K25" s="19">
        <f t="shared" si="0"/>
        <v>3806319.9000000004</v>
      </c>
      <c r="L25" s="32">
        <f t="shared" si="0"/>
        <v>0.9999999999999999</v>
      </c>
    </row>
    <row r="26" spans="1:12" ht="12.75">
      <c r="A26" s="40"/>
      <c r="B26" s="41"/>
      <c r="C26" s="19"/>
      <c r="D26" s="19" t="s">
        <v>42</v>
      </c>
      <c r="E26" s="19"/>
      <c r="F26" s="19" t="s">
        <v>42</v>
      </c>
      <c r="G26" s="19"/>
      <c r="H26" s="19" t="s">
        <v>42</v>
      </c>
      <c r="I26" s="19"/>
      <c r="J26" s="19" t="s">
        <v>42</v>
      </c>
      <c r="L26" s="19" t="s">
        <v>42</v>
      </c>
    </row>
    <row r="27" spans="1:12" ht="12.75">
      <c r="A27" s="38" t="s">
        <v>43</v>
      </c>
      <c r="B27" s="42"/>
      <c r="C27" s="27">
        <f>SUM(C12-C25)</f>
        <v>4142460</v>
      </c>
      <c r="D27" s="43">
        <f>SUM(C27/C10)</f>
        <v>0.35497828583071017</v>
      </c>
      <c r="E27" s="27">
        <f>SUM(E12-E25)</f>
        <v>9757043</v>
      </c>
      <c r="F27" s="43">
        <f>SUM(E27/E10)</f>
        <v>0.47075487183394205</v>
      </c>
      <c r="G27" s="27">
        <f>SUM(G12-G25)</f>
        <v>21008721</v>
      </c>
      <c r="H27" s="43">
        <f>SUM(G27/G8)</f>
        <v>0.5630754151560398</v>
      </c>
      <c r="I27" s="27">
        <f>SUM(I12-I25)</f>
        <v>36368846</v>
      </c>
      <c r="J27" s="43">
        <f>SUM(I27/I10)</f>
        <v>0.6706847434572507</v>
      </c>
      <c r="K27" s="27">
        <f>SUM(K12-K25)</f>
        <v>50360450.1</v>
      </c>
      <c r="L27" s="32">
        <f>SUM(K27/K10)</f>
        <v>0.6974715775120089</v>
      </c>
    </row>
    <row r="28" spans="1:12" ht="12.75">
      <c r="A28" s="18" t="s">
        <v>44</v>
      </c>
      <c r="B28" s="41"/>
      <c r="C28" s="19">
        <v>77322</v>
      </c>
      <c r="D28" s="31">
        <f>SUM(C28/C10)</f>
        <v>0.006625925420402894</v>
      </c>
      <c r="E28" s="19">
        <f>SUM(E27*30%)</f>
        <v>2927112.9</v>
      </c>
      <c r="F28" s="31">
        <f>SUM(E28/E10)</f>
        <v>0.14122646155018262</v>
      </c>
      <c r="G28" s="19">
        <f>SUM(G27*30%)</f>
        <v>6302616.3</v>
      </c>
      <c r="H28" s="31">
        <f>SUM(G28/G10)</f>
        <v>0.16892262454681195</v>
      </c>
      <c r="I28" s="19">
        <f>SUM(I27*30%)</f>
        <v>10910653.799999999</v>
      </c>
      <c r="J28" s="31">
        <f>SUM(I28/I10)</f>
        <v>0.2012054230371752</v>
      </c>
      <c r="K28" s="19">
        <f>SUM(K27*30%)</f>
        <v>15108135.03</v>
      </c>
      <c r="L28" s="32">
        <f>SUM(K28/K10)</f>
        <v>0.20924147325360268</v>
      </c>
    </row>
    <row r="29" spans="1:12" ht="12.75">
      <c r="A29" s="13" t="s">
        <v>45</v>
      </c>
      <c r="B29" s="41"/>
      <c r="C29" s="19">
        <f>SUM(C27-C28)</f>
        <v>4065138</v>
      </c>
      <c r="D29" s="31">
        <f>SUM(C29/C10)</f>
        <v>0.3483523604103073</v>
      </c>
      <c r="E29" s="19">
        <f>SUM(E27-E28)</f>
        <v>6829930.1</v>
      </c>
      <c r="F29" s="31">
        <f>SUM(E29/E10)</f>
        <v>0.3295284102837594</v>
      </c>
      <c r="G29" s="19">
        <f>SUM(G27-G28)</f>
        <v>14706104.7</v>
      </c>
      <c r="H29" s="31">
        <f>SUM(G29/G10)</f>
        <v>0.39415279060922787</v>
      </c>
      <c r="I29" s="19">
        <f>SUM(I27-I28)</f>
        <v>25458192.200000003</v>
      </c>
      <c r="J29" s="31">
        <f>SUM(I29/I10)</f>
        <v>0.46947932042007556</v>
      </c>
      <c r="K29" s="19">
        <f>SUM(K27-K28)</f>
        <v>35252315.07</v>
      </c>
      <c r="L29" s="32">
        <f>SUM(K29/K10)</f>
        <v>0.48823010425840624</v>
      </c>
    </row>
    <row r="30" spans="1:12" ht="12.75">
      <c r="A30" s="44"/>
      <c r="B30" s="45"/>
      <c r="C30" s="46"/>
      <c r="D30" s="28"/>
      <c r="E30" s="46"/>
      <c r="F30" s="28"/>
      <c r="G30" s="46"/>
      <c r="H30" s="28"/>
      <c r="I30" s="46"/>
      <c r="J30" s="28"/>
      <c r="K30" s="46"/>
      <c r="L30" s="29"/>
    </row>
    <row r="31" spans="1:12" ht="12.75">
      <c r="A31" s="18" t="s">
        <v>46</v>
      </c>
      <c r="B31" s="41"/>
      <c r="C31" s="47">
        <v>9060000</v>
      </c>
      <c r="D31" s="31"/>
      <c r="E31" s="47">
        <v>14060000</v>
      </c>
      <c r="F31" s="31"/>
      <c r="G31" s="47">
        <v>14060000</v>
      </c>
      <c r="H31" s="31"/>
      <c r="I31" s="47">
        <v>14060000</v>
      </c>
      <c r="J31" s="31"/>
      <c r="K31" s="47">
        <v>16880000</v>
      </c>
      <c r="L31" s="32"/>
    </row>
    <row r="32" spans="1:12" ht="12.75">
      <c r="A32" s="18" t="s">
        <v>47</v>
      </c>
      <c r="B32" s="48"/>
      <c r="C32" s="49">
        <f>SUM(C29/C31)</f>
        <v>0.4486907284768212</v>
      </c>
      <c r="D32" s="49"/>
      <c r="E32" s="49">
        <f>SUM(E29/E31)</f>
        <v>0.4857702773826458</v>
      </c>
      <c r="F32" s="49"/>
      <c r="G32" s="49">
        <f>SUM(G29/G31)</f>
        <v>1.0459533926031295</v>
      </c>
      <c r="H32" s="49"/>
      <c r="I32" s="49">
        <f>SUM(I29/I31)</f>
        <v>1.8106822332859178</v>
      </c>
      <c r="J32" s="49"/>
      <c r="K32" s="49">
        <f>SUM(K29/K31)</f>
        <v>2.0884072908767775</v>
      </c>
      <c r="L32" s="50"/>
    </row>
    <row r="33" spans="1:12" ht="12.75">
      <c r="A33" s="51"/>
      <c r="B33" s="48"/>
      <c r="C33" s="52"/>
      <c r="D33" s="53"/>
      <c r="E33" s="52"/>
      <c r="F33" s="53"/>
      <c r="G33" s="52"/>
      <c r="H33" s="53"/>
      <c r="I33" s="52"/>
      <c r="J33" s="53"/>
      <c r="K33" s="52"/>
      <c r="L33" s="50"/>
    </row>
    <row r="34" spans="1:12" ht="12.75">
      <c r="A34" s="13" t="s">
        <v>48</v>
      </c>
      <c r="B34" s="48"/>
      <c r="C34" s="52"/>
      <c r="D34" s="53"/>
      <c r="E34" s="52"/>
      <c r="F34" s="53"/>
      <c r="G34" s="52"/>
      <c r="H34" s="53"/>
      <c r="I34" s="52"/>
      <c r="J34" s="53"/>
      <c r="K34" s="52"/>
      <c r="L34" s="50"/>
    </row>
    <row r="35" spans="1:12" ht="12.75">
      <c r="A35" s="18" t="s">
        <v>86</v>
      </c>
      <c r="B35" s="48"/>
      <c r="D35" s="80"/>
      <c r="E35" s="21">
        <v>7500000</v>
      </c>
      <c r="F35" s="80" t="s">
        <v>89</v>
      </c>
      <c r="G35" s="49"/>
      <c r="H35" s="80"/>
      <c r="I35" s="49"/>
      <c r="J35" s="80"/>
      <c r="K35" s="21">
        <v>2820000</v>
      </c>
      <c r="L35" s="50" t="s">
        <v>90</v>
      </c>
    </row>
    <row r="36" spans="1:12" ht="12.75">
      <c r="A36" s="30" t="s">
        <v>54</v>
      </c>
      <c r="B36" s="48"/>
      <c r="C36" s="19">
        <v>6250000</v>
      </c>
      <c r="D36" s="54"/>
      <c r="E36" s="19">
        <f>SUM(C41)</f>
        <v>8865138</v>
      </c>
      <c r="F36" s="53"/>
      <c r="G36" s="19">
        <f>SUM(E41)</f>
        <v>22595068.1</v>
      </c>
      <c r="H36" s="53"/>
      <c r="I36" s="19">
        <f>SUM(G41)</f>
        <v>36701172.8</v>
      </c>
      <c r="J36" s="53"/>
      <c r="K36" s="19">
        <f>SUM(I41)</f>
        <v>62059365</v>
      </c>
      <c r="L36" s="50"/>
    </row>
    <row r="37" spans="1:12" ht="12.75">
      <c r="A37" s="33" t="s">
        <v>88</v>
      </c>
      <c r="B37" s="55"/>
      <c r="C37" s="81">
        <v>5400000</v>
      </c>
      <c r="D37" s="82" t="s">
        <v>91</v>
      </c>
      <c r="E37" s="35"/>
      <c r="F37" s="56"/>
      <c r="G37" s="19"/>
      <c r="H37" s="56"/>
      <c r="I37" s="19"/>
      <c r="J37" s="56"/>
      <c r="K37" s="19"/>
      <c r="L37" s="57"/>
    </row>
    <row r="38" spans="1:12" ht="12.75">
      <c r="A38" s="33" t="s">
        <v>49</v>
      </c>
      <c r="B38" s="55"/>
      <c r="C38" s="35">
        <f>SUM(C29)</f>
        <v>4065138</v>
      </c>
      <c r="D38" s="56"/>
      <c r="E38" s="35">
        <f>SUM(E29)</f>
        <v>6829930.1</v>
      </c>
      <c r="F38" s="56"/>
      <c r="G38" s="19">
        <f>SUM(G29)</f>
        <v>14706104.7</v>
      </c>
      <c r="H38" s="56"/>
      <c r="I38" s="19">
        <f>SUM(I29)</f>
        <v>25458192.200000003</v>
      </c>
      <c r="J38" s="56"/>
      <c r="K38" s="19">
        <f>SUM(K29)</f>
        <v>35252315.07</v>
      </c>
      <c r="L38" s="57"/>
    </row>
    <row r="39" spans="1:12" ht="12.75">
      <c r="A39" s="33" t="s">
        <v>81</v>
      </c>
      <c r="B39" s="55"/>
      <c r="C39" s="35">
        <v>500000</v>
      </c>
      <c r="D39" s="70"/>
      <c r="E39" s="35">
        <v>500000</v>
      </c>
      <c r="F39" s="56"/>
      <c r="G39" s="19">
        <v>500000</v>
      </c>
      <c r="H39" s="56"/>
      <c r="I39" s="19"/>
      <c r="J39" s="56"/>
      <c r="K39" s="19"/>
      <c r="L39" s="57"/>
    </row>
    <row r="40" spans="1:12" ht="12.75">
      <c r="A40" s="58" t="s">
        <v>76</v>
      </c>
      <c r="B40" s="55"/>
      <c r="C40" s="35">
        <v>100000</v>
      </c>
      <c r="D40" s="56"/>
      <c r="E40" s="35">
        <v>100000</v>
      </c>
      <c r="F40" s="56"/>
      <c r="G40" s="19">
        <v>100000</v>
      </c>
      <c r="H40" s="56"/>
      <c r="I40" s="19">
        <v>100000</v>
      </c>
      <c r="J40" s="56"/>
      <c r="K40" s="19">
        <v>100000</v>
      </c>
      <c r="L40" s="57"/>
    </row>
    <row r="41" spans="1:12" ht="12.75">
      <c r="A41" s="59" t="s">
        <v>50</v>
      </c>
      <c r="B41" s="48"/>
      <c r="C41" s="19">
        <f>SUM(C37+C38-C39-C40)</f>
        <v>8865138</v>
      </c>
      <c r="D41" s="50"/>
      <c r="E41" s="19">
        <f>SUM(E35+E36+E38-E39-E40)</f>
        <v>22595068.1</v>
      </c>
      <c r="F41" s="53"/>
      <c r="G41" s="19">
        <f>SUM(G36+G38-G39-G40)</f>
        <v>36701172.8</v>
      </c>
      <c r="H41" s="53"/>
      <c r="I41" s="19">
        <f>SUM(I36+I38-I40)</f>
        <v>62059365</v>
      </c>
      <c r="J41" s="53"/>
      <c r="K41" s="19">
        <f>SUM(K35+K36+K38-K40)</f>
        <v>100031680.07</v>
      </c>
      <c r="L41" s="48"/>
    </row>
    <row r="42" spans="1:12" ht="12.75">
      <c r="A42" s="60"/>
      <c r="B42" s="48"/>
      <c r="C42" s="19"/>
      <c r="D42" s="50"/>
      <c r="E42" s="19"/>
      <c r="F42" s="53"/>
      <c r="G42" s="52"/>
      <c r="H42" s="53"/>
      <c r="I42" s="52"/>
      <c r="J42" s="53"/>
      <c r="K42" s="52"/>
      <c r="L42" s="48"/>
    </row>
    <row r="43" spans="1:12" s="64" customFormat="1" ht="12.75">
      <c r="A43" s="61" t="s">
        <v>51</v>
      </c>
      <c r="B43" s="62"/>
      <c r="C43" s="63">
        <f>SUM(C32*24.5)</f>
        <v>10.992922847682118</v>
      </c>
      <c r="D43" s="63"/>
      <c r="E43" s="63">
        <f>SUM(E32*24.5)</f>
        <v>11.901371795874821</v>
      </c>
      <c r="F43" s="63"/>
      <c r="G43" s="63">
        <f>SUM(G32*24.5)</f>
        <v>25.625858118776673</v>
      </c>
      <c r="H43" s="63"/>
      <c r="I43" s="63">
        <f>SUM(I32*32)</f>
        <v>57.94183146514937</v>
      </c>
      <c r="J43" s="63"/>
      <c r="K43" s="63">
        <f>SUM(K32*32)</f>
        <v>66.82903330805688</v>
      </c>
      <c r="L43" s="62"/>
    </row>
    <row r="44" spans="1:12" s="64" customFormat="1" ht="12.75">
      <c r="A44" s="61" t="s">
        <v>52</v>
      </c>
      <c r="B44" s="62"/>
      <c r="C44" s="65"/>
      <c r="D44" s="65"/>
      <c r="E44" s="65"/>
      <c r="F44" s="66"/>
      <c r="G44" s="65"/>
      <c r="H44" s="66"/>
      <c r="I44" s="61" t="s">
        <v>65</v>
      </c>
      <c r="J44" s="66"/>
      <c r="K44" s="65"/>
      <c r="L44" s="62"/>
    </row>
    <row r="46" spans="1:4" ht="12.75">
      <c r="A46" s="67" t="s">
        <v>53</v>
      </c>
      <c r="B46" s="16"/>
      <c r="C46" s="68"/>
      <c r="D46" s="68"/>
    </row>
    <row r="47" spans="1:2" ht="12.75">
      <c r="A47" s="79" t="s">
        <v>77</v>
      </c>
      <c r="B47" s="53"/>
    </row>
    <row r="48" spans="1:2" ht="12.75">
      <c r="A48" s="79" t="s">
        <v>85</v>
      </c>
      <c r="B48" s="53"/>
    </row>
    <row r="49" spans="1:2" ht="12.75">
      <c r="A49" s="79" t="s">
        <v>87</v>
      </c>
      <c r="B49" s="53"/>
    </row>
  </sheetData>
  <printOptions horizontalCentered="1" verticalCentered="1"/>
  <pageMargins left="0.31" right="0" top="0" bottom="0" header="0" footer="0"/>
  <pageSetup fitToHeight="1" fitToWidth="1"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2" max="2" width="10.28125" style="0" customWidth="1"/>
    <col min="3" max="3" width="10.8515625" style="0" bestFit="1" customWidth="1"/>
    <col min="4" max="4" width="14.8515625" style="0" bestFit="1" customWidth="1"/>
    <col min="5" max="5" width="15.140625" style="0" bestFit="1" customWidth="1"/>
    <col min="6" max="6" width="12.57421875" style="0" bestFit="1" customWidth="1"/>
    <col min="7" max="7" width="13.140625" style="0" customWidth="1"/>
    <col min="8" max="8" width="14.57421875" style="0" bestFit="1" customWidth="1"/>
    <col min="9" max="9" width="10.8515625" style="0" bestFit="1" customWidth="1"/>
    <col min="10" max="10" width="12.57421875" style="0" customWidth="1"/>
    <col min="11" max="11" width="10.28125" style="0" bestFit="1" customWidth="1"/>
    <col min="12" max="12" width="10.28125" style="0" customWidth="1"/>
    <col min="13" max="13" width="14.421875" style="0" customWidth="1"/>
    <col min="14" max="14" width="12.8515625" style="0" customWidth="1"/>
    <col min="15" max="15" width="11.7109375" style="0" customWidth="1"/>
    <col min="16" max="16" width="13.7109375" style="0" bestFit="1" customWidth="1"/>
    <col min="17" max="18" width="12.8515625" style="0" bestFit="1" customWidth="1"/>
    <col min="19" max="19" width="11.7109375" style="0" hidden="1" customWidth="1"/>
    <col min="20" max="20" width="12.7109375" style="0" customWidth="1"/>
    <col min="21" max="21" width="10.140625" style="0" bestFit="1" customWidth="1"/>
    <col min="22" max="22" width="9.57421875" style="0" bestFit="1" customWidth="1"/>
  </cols>
  <sheetData>
    <row r="1" spans="1:5" ht="15.75" customHeight="1">
      <c r="A1" s="107" t="s">
        <v>59</v>
      </c>
      <c r="C1" s="73"/>
      <c r="D1" s="2"/>
      <c r="E1" s="3"/>
    </row>
    <row r="2" spans="1:5" ht="15.75" customHeight="1">
      <c r="A2" s="107" t="s">
        <v>95</v>
      </c>
      <c r="C2" s="73"/>
      <c r="D2" s="2"/>
      <c r="E2" s="3"/>
    </row>
    <row r="3" spans="1:5" ht="15.75" customHeight="1">
      <c r="A3" s="108" t="s">
        <v>79</v>
      </c>
      <c r="C3" s="73"/>
      <c r="D3" s="2"/>
      <c r="E3" s="3"/>
    </row>
    <row r="4" spans="1:19" ht="15.75" customHeight="1">
      <c r="A4" s="108" t="s">
        <v>75</v>
      </c>
      <c r="C4" s="7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3:19" ht="15.75" customHeigh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20" s="71" customFormat="1" ht="15.75" customHeight="1">
      <c r="B6" s="74" t="s">
        <v>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5"/>
    </row>
    <row r="7" spans="2:20" s="72" customFormat="1" ht="15.75" customHeight="1">
      <c r="B7" s="83" t="s">
        <v>2</v>
      </c>
      <c r="C7" s="86" t="s">
        <v>55</v>
      </c>
      <c r="D7" s="86" t="s">
        <v>66</v>
      </c>
      <c r="E7" s="86" t="s">
        <v>3</v>
      </c>
      <c r="F7" s="86" t="s">
        <v>4</v>
      </c>
      <c r="G7" s="87" t="s">
        <v>69</v>
      </c>
      <c r="H7" s="86" t="s">
        <v>6</v>
      </c>
      <c r="I7" s="86" t="s">
        <v>7</v>
      </c>
      <c r="J7" s="86" t="s">
        <v>8</v>
      </c>
      <c r="K7" s="86" t="s">
        <v>9</v>
      </c>
      <c r="L7" s="87" t="s">
        <v>83</v>
      </c>
      <c r="M7" s="86" t="s">
        <v>10</v>
      </c>
      <c r="N7" s="86" t="s">
        <v>72</v>
      </c>
      <c r="O7" s="86" t="s">
        <v>11</v>
      </c>
      <c r="P7" s="86" t="s">
        <v>12</v>
      </c>
      <c r="Q7" s="86" t="s">
        <v>13</v>
      </c>
      <c r="R7" s="86" t="s">
        <v>14</v>
      </c>
      <c r="S7" s="86" t="s">
        <v>14</v>
      </c>
      <c r="T7" s="87" t="s">
        <v>14</v>
      </c>
    </row>
    <row r="8" spans="2:20" s="72" customFormat="1" ht="15.75" customHeight="1">
      <c r="B8" s="83" t="s">
        <v>15</v>
      </c>
      <c r="C8" s="88"/>
      <c r="D8" s="86"/>
      <c r="E8" s="89" t="s">
        <v>56</v>
      </c>
      <c r="F8" s="89" t="s">
        <v>16</v>
      </c>
      <c r="G8" s="87" t="s">
        <v>68</v>
      </c>
      <c r="H8" s="89" t="s">
        <v>18</v>
      </c>
      <c r="I8" s="89" t="s">
        <v>19</v>
      </c>
      <c r="J8" s="89" t="s">
        <v>20</v>
      </c>
      <c r="K8" s="89" t="s">
        <v>21</v>
      </c>
      <c r="L8" s="89" t="s">
        <v>16</v>
      </c>
      <c r="M8" s="102" t="s">
        <v>22</v>
      </c>
      <c r="N8" s="89" t="s">
        <v>73</v>
      </c>
      <c r="O8" s="89" t="s">
        <v>23</v>
      </c>
      <c r="P8" s="89"/>
      <c r="Q8" s="89">
        <v>0.3</v>
      </c>
      <c r="R8" s="89" t="s">
        <v>24</v>
      </c>
      <c r="S8" s="86" t="s">
        <v>25</v>
      </c>
      <c r="T8" s="87" t="s">
        <v>25</v>
      </c>
    </row>
    <row r="9" spans="2:20" s="71" customFormat="1" ht="15.75" customHeight="1">
      <c r="B9" s="90"/>
      <c r="C9" s="91"/>
      <c r="D9" s="91"/>
      <c r="E9" s="91"/>
      <c r="F9" s="92"/>
      <c r="G9" s="92"/>
      <c r="H9" s="91"/>
      <c r="I9" s="85"/>
      <c r="J9" s="91"/>
      <c r="K9" s="85"/>
      <c r="L9" s="85"/>
      <c r="M9" s="85"/>
      <c r="N9" s="85"/>
      <c r="O9" s="85"/>
      <c r="P9" s="92"/>
      <c r="Q9" s="91"/>
      <c r="R9" s="92"/>
      <c r="S9" s="93"/>
      <c r="T9" s="94"/>
    </row>
    <row r="10" spans="2:20" s="71" customFormat="1" ht="16.5" customHeight="1">
      <c r="B10" s="95">
        <v>2003</v>
      </c>
      <c r="C10" s="96">
        <v>720000</v>
      </c>
      <c r="D10" s="97">
        <f>SUM(C10*3.33)</f>
        <v>2397600</v>
      </c>
      <c r="E10" s="97">
        <f>SUM(C10*13.33)</f>
        <v>9597600</v>
      </c>
      <c r="F10" s="97">
        <f>SUM(G10:O10)</f>
        <v>3441000</v>
      </c>
      <c r="G10" s="97">
        <f>SUM(C10*1)</f>
        <v>720000</v>
      </c>
      <c r="H10" s="97">
        <v>395000</v>
      </c>
      <c r="I10" s="97">
        <v>75000</v>
      </c>
      <c r="J10" s="97">
        <v>100000</v>
      </c>
      <c r="K10" s="97">
        <v>84000</v>
      </c>
      <c r="L10" s="97">
        <v>100000</v>
      </c>
      <c r="M10" s="97">
        <v>1219000</v>
      </c>
      <c r="N10" s="97">
        <f>SUM(C10*1)</f>
        <v>720000</v>
      </c>
      <c r="O10" s="97">
        <v>28000</v>
      </c>
      <c r="P10" s="97">
        <f>SUM(E10-D10-F10)</f>
        <v>3759000</v>
      </c>
      <c r="Q10" s="97">
        <f>SUM(P10*30%)</f>
        <v>1127700</v>
      </c>
      <c r="R10" s="97">
        <f>SUM(P10-Q10)</f>
        <v>2631300</v>
      </c>
      <c r="S10" s="98">
        <f>SUM(P10/'Rev BSL'!C30)</f>
        <v>0.4149006622516556</v>
      </c>
      <c r="T10" s="99">
        <f>SUM(R10/'Rev BSL'!C30)</f>
        <v>0.2904304635761589</v>
      </c>
    </row>
    <row r="11" spans="2:20" s="71" customFormat="1" ht="16.5" customHeight="1">
      <c r="B11" s="95">
        <v>2004</v>
      </c>
      <c r="C11" s="96">
        <v>1260000</v>
      </c>
      <c r="D11" s="96">
        <f>SUM(C11*3.33)</f>
        <v>4195800</v>
      </c>
      <c r="E11" s="96">
        <f>SUM(C11*13.33)</f>
        <v>16795800</v>
      </c>
      <c r="F11" s="96">
        <f>SUM(G11:O11)</f>
        <v>4716760</v>
      </c>
      <c r="G11" s="96">
        <f>SUM(C11*1)</f>
        <v>1260000</v>
      </c>
      <c r="H11" s="96">
        <v>434500</v>
      </c>
      <c r="I11" s="96">
        <v>75000</v>
      </c>
      <c r="J11" s="96">
        <v>109000</v>
      </c>
      <c r="K11" s="96">
        <v>87360</v>
      </c>
      <c r="L11" s="96">
        <f>SUM(L10*0.2+100000)</f>
        <v>120000</v>
      </c>
      <c r="M11" s="96">
        <f>SUM(M10*110%)</f>
        <v>1340900</v>
      </c>
      <c r="N11" s="96">
        <f>SUM(C11*1)</f>
        <v>1260000</v>
      </c>
      <c r="O11" s="96">
        <v>30000</v>
      </c>
      <c r="P11" s="96">
        <f>SUM(E11-D11-F11)</f>
        <v>7883240</v>
      </c>
      <c r="Q11" s="96">
        <f>SUM(P11*30%)</f>
        <v>2364972</v>
      </c>
      <c r="R11" s="96">
        <f>SUM(P11-Q11)</f>
        <v>5518268</v>
      </c>
      <c r="S11" s="98">
        <f>SUM(P11/'Rev BSL'!E30)</f>
        <v>0.5606856330014225</v>
      </c>
      <c r="T11" s="99">
        <f>SUM(R11/'Rev BSL'!E30)</f>
        <v>0.3924799431009957</v>
      </c>
    </row>
    <row r="12" spans="2:20" s="71" customFormat="1" ht="16.5" customHeight="1">
      <c r="B12" s="95">
        <v>2005</v>
      </c>
      <c r="C12" s="96">
        <v>2070000</v>
      </c>
      <c r="D12" s="96">
        <f>SUM(C12*3.33)</f>
        <v>6893100</v>
      </c>
      <c r="E12" s="96">
        <f>SUM(C12*13.33)</f>
        <v>27593100</v>
      </c>
      <c r="F12" s="96">
        <f>SUM(G12:O12)</f>
        <v>6556604</v>
      </c>
      <c r="G12" s="96">
        <f>SUM(C12*1)</f>
        <v>2070000</v>
      </c>
      <c r="H12" s="96">
        <v>477950</v>
      </c>
      <c r="I12" s="96">
        <v>75000</v>
      </c>
      <c r="J12" s="96">
        <v>118810</v>
      </c>
      <c r="K12" s="96">
        <v>90854</v>
      </c>
      <c r="L12" s="96">
        <f>SUM(L11*0.2+120000)</f>
        <v>144000</v>
      </c>
      <c r="M12" s="96">
        <f>SUM(M11*110%)</f>
        <v>1474990.0000000002</v>
      </c>
      <c r="N12" s="96">
        <f>SUM(C12*1)</f>
        <v>2070000</v>
      </c>
      <c r="O12" s="96">
        <v>35000</v>
      </c>
      <c r="P12" s="96">
        <f>SUM(E12-D12-F12)</f>
        <v>14143396</v>
      </c>
      <c r="Q12" s="96">
        <f>SUM(P12*30%)</f>
        <v>4243018.8</v>
      </c>
      <c r="R12" s="96">
        <f>SUM(P12-Q12)</f>
        <v>9900377.2</v>
      </c>
      <c r="S12" s="98">
        <f>SUM(P12/'Rev BSL'!E30)</f>
        <v>1.0059314366998577</v>
      </c>
      <c r="T12" s="99">
        <f>SUM(R12/'Rev BSL'!G30)</f>
        <v>0.7041520056899003</v>
      </c>
    </row>
    <row r="13" spans="2:20" s="71" customFormat="1" ht="16.5" customHeight="1">
      <c r="B13" s="95">
        <v>2006</v>
      </c>
      <c r="C13" s="96">
        <v>2790000</v>
      </c>
      <c r="D13" s="96">
        <f>SUM(C13*3.33)</f>
        <v>9290700</v>
      </c>
      <c r="E13" s="96">
        <f>SUM(C13*13.33)</f>
        <v>37190700</v>
      </c>
      <c r="F13" s="96">
        <f>SUM(G13:O13)</f>
        <v>3210025.0000000005</v>
      </c>
      <c r="G13" s="96">
        <f>SUM(C13*0.2)</f>
        <v>558000</v>
      </c>
      <c r="H13" s="96">
        <v>525745</v>
      </c>
      <c r="I13" s="96">
        <v>75000</v>
      </c>
      <c r="J13" s="96">
        <v>121503</v>
      </c>
      <c r="K13" s="96">
        <v>94488</v>
      </c>
      <c r="L13" s="96">
        <f>SUM(L12*0.2+144000)</f>
        <v>172800</v>
      </c>
      <c r="M13" s="96">
        <f>SUM(M12*110%)</f>
        <v>1622489.0000000005</v>
      </c>
      <c r="N13" s="96"/>
      <c r="O13" s="96">
        <v>40000</v>
      </c>
      <c r="P13" s="96">
        <f>SUM(E13-D13-F13)</f>
        <v>24689975</v>
      </c>
      <c r="Q13" s="96">
        <f>SUM(P13*30%)</f>
        <v>7406992.5</v>
      </c>
      <c r="R13" s="96">
        <f>SUM(P13-Q13)</f>
        <v>17282982.5</v>
      </c>
      <c r="S13" s="98">
        <f>SUM(P13/'Rev BSL'!E30)</f>
        <v>1.7560437411095307</v>
      </c>
      <c r="T13" s="99">
        <f>SUM(R13/'Rev BSL'!I30)</f>
        <v>1.2292306187766715</v>
      </c>
    </row>
    <row r="14" spans="2:20" s="71" customFormat="1" ht="16.5" customHeight="1">
      <c r="B14" s="95">
        <v>2007</v>
      </c>
      <c r="C14" s="96">
        <v>3600000</v>
      </c>
      <c r="D14" s="97">
        <f>SUM(C14*3.33)</f>
        <v>11988000</v>
      </c>
      <c r="E14" s="97">
        <f>SUM(C14*13.33)</f>
        <v>47988000</v>
      </c>
      <c r="F14" s="97">
        <f>SUM(G14:O14)</f>
        <v>2921121.9000000004</v>
      </c>
      <c r="G14" s="97">
        <f>SUM(C14*0)</f>
        <v>0</v>
      </c>
      <c r="H14" s="97">
        <v>578319</v>
      </c>
      <c r="I14" s="97">
        <v>75000</v>
      </c>
      <c r="J14" s="97">
        <v>132438</v>
      </c>
      <c r="K14" s="97">
        <v>98267</v>
      </c>
      <c r="L14" s="97">
        <f>SUM(L13*0.2+172800)</f>
        <v>207360</v>
      </c>
      <c r="M14" s="97">
        <f>SUM(M13*110%)</f>
        <v>1784737.9000000006</v>
      </c>
      <c r="N14" s="97"/>
      <c r="O14" s="97">
        <v>45000</v>
      </c>
      <c r="P14" s="97">
        <f>SUM(E14-D14-F14)</f>
        <v>33078878.1</v>
      </c>
      <c r="Q14" s="97">
        <f>SUM(P14*30%)</f>
        <v>9923663.43</v>
      </c>
      <c r="R14" s="97">
        <f>SUM(P14-Q14)</f>
        <v>23155214.67</v>
      </c>
      <c r="S14" s="98">
        <f>SUM(P14/'Rev BSL'!E30)</f>
        <v>2.3526940327169275</v>
      </c>
      <c r="T14" s="99">
        <f>SUM(R14/'Rev BSL'!K30)</f>
        <v>1.371754423578199</v>
      </c>
    </row>
    <row r="15" spans="2:20" s="71" customFormat="1" ht="15.75" customHeight="1">
      <c r="B15" s="95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99"/>
    </row>
    <row r="16" spans="2:20" s="71" customFormat="1" ht="15.7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6"/>
      <c r="T16" s="96"/>
    </row>
    <row r="17" spans="2:20" s="71" customFormat="1" ht="15.75" customHeight="1">
      <c r="B17" s="8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5"/>
    </row>
    <row r="18" spans="2:20" s="71" customFormat="1" ht="15.75" customHeight="1">
      <c r="B18" s="74" t="s">
        <v>26</v>
      </c>
      <c r="C18" s="83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101"/>
      <c r="O18" s="101"/>
      <c r="P18" s="101"/>
      <c r="Q18" s="101"/>
      <c r="R18" s="101"/>
      <c r="S18" s="84"/>
      <c r="T18" s="85"/>
    </row>
    <row r="19" spans="2:20" s="72" customFormat="1" ht="15.75" customHeight="1">
      <c r="B19" s="83" t="s">
        <v>2</v>
      </c>
      <c r="C19" s="86" t="s">
        <v>55</v>
      </c>
      <c r="D19" s="86" t="s">
        <v>67</v>
      </c>
      <c r="E19" s="86" t="s">
        <v>3</v>
      </c>
      <c r="F19" s="86" t="s">
        <v>4</v>
      </c>
      <c r="G19" s="87" t="s">
        <v>5</v>
      </c>
      <c r="H19" s="86" t="s">
        <v>6</v>
      </c>
      <c r="I19" s="86" t="s">
        <v>7</v>
      </c>
      <c r="J19" s="86" t="s">
        <v>8</v>
      </c>
      <c r="K19" s="86" t="s">
        <v>9</v>
      </c>
      <c r="L19" s="87" t="s">
        <v>83</v>
      </c>
      <c r="M19" s="86" t="s">
        <v>10</v>
      </c>
      <c r="N19" s="87"/>
      <c r="O19" s="86" t="s">
        <v>11</v>
      </c>
      <c r="P19" s="86" t="s">
        <v>12</v>
      </c>
      <c r="Q19" s="86" t="s">
        <v>13</v>
      </c>
      <c r="R19" s="86" t="s">
        <v>14</v>
      </c>
      <c r="S19" s="86" t="s">
        <v>14</v>
      </c>
      <c r="T19" s="87" t="s">
        <v>14</v>
      </c>
    </row>
    <row r="20" spans="2:20" s="72" customFormat="1" ht="15.75" customHeight="1">
      <c r="B20" s="83" t="s">
        <v>15</v>
      </c>
      <c r="C20" s="88"/>
      <c r="D20" s="86"/>
      <c r="E20" s="89" t="s">
        <v>56</v>
      </c>
      <c r="F20" s="89" t="s">
        <v>16</v>
      </c>
      <c r="G20" s="87" t="s">
        <v>17</v>
      </c>
      <c r="H20" s="89" t="s">
        <v>18</v>
      </c>
      <c r="I20" s="89" t="s">
        <v>19</v>
      </c>
      <c r="J20" s="89" t="s">
        <v>20</v>
      </c>
      <c r="K20" s="89" t="s">
        <v>21</v>
      </c>
      <c r="L20" s="89" t="s">
        <v>16</v>
      </c>
      <c r="M20" s="89" t="s">
        <v>22</v>
      </c>
      <c r="N20" s="102"/>
      <c r="O20" s="89" t="s">
        <v>23</v>
      </c>
      <c r="P20" s="89"/>
      <c r="Q20" s="89">
        <v>0.3</v>
      </c>
      <c r="R20" s="89" t="s">
        <v>24</v>
      </c>
      <c r="S20" s="86" t="s">
        <v>25</v>
      </c>
      <c r="T20" s="87" t="s">
        <v>25</v>
      </c>
    </row>
    <row r="21" spans="2:20" s="71" customFormat="1" ht="15.75" customHeight="1">
      <c r="B21" s="90"/>
      <c r="C21" s="91"/>
      <c r="D21" s="91"/>
      <c r="E21" s="91"/>
      <c r="F21" s="91"/>
      <c r="G21" s="91"/>
      <c r="H21" s="85"/>
      <c r="I21" s="91"/>
      <c r="J21" s="85"/>
      <c r="K21" s="91"/>
      <c r="L21" s="91"/>
      <c r="M21" s="92"/>
      <c r="N21" s="92"/>
      <c r="O21" s="85"/>
      <c r="P21" s="85"/>
      <c r="Q21" s="85"/>
      <c r="R21" s="92"/>
      <c r="S21" s="93"/>
      <c r="T21" s="94"/>
    </row>
    <row r="22" spans="2:20" s="71" customFormat="1" ht="16.5" customHeight="1">
      <c r="B22" s="95">
        <v>2003</v>
      </c>
      <c r="C22" s="96">
        <v>155440</v>
      </c>
      <c r="D22" s="97">
        <f>SUM(C22*3.33)</f>
        <v>517615.2</v>
      </c>
      <c r="E22" s="97">
        <f>SUM(C22*13.33)</f>
        <v>2072015.2</v>
      </c>
      <c r="F22" s="97">
        <f>SUM(G22:O22)</f>
        <v>408940</v>
      </c>
      <c r="G22" s="97">
        <f>SUM(C22*1)</f>
        <v>155440</v>
      </c>
      <c r="H22" s="97">
        <v>85000</v>
      </c>
      <c r="I22" s="97"/>
      <c r="J22" s="97">
        <v>50000</v>
      </c>
      <c r="K22" s="97">
        <v>50000</v>
      </c>
      <c r="L22" s="97">
        <v>50000</v>
      </c>
      <c r="M22" s="97"/>
      <c r="N22" s="97"/>
      <c r="O22" s="97">
        <v>18500</v>
      </c>
      <c r="P22" s="97">
        <f>SUM(E22-D22-F22)</f>
        <v>1145460</v>
      </c>
      <c r="Q22" s="97">
        <f>SUM(P22*30%)</f>
        <v>343638</v>
      </c>
      <c r="R22" s="97">
        <f>SUM(P22-Q22)</f>
        <v>801822</v>
      </c>
      <c r="S22" s="98">
        <f>SUM(P22/'Rev BSL'!C30)</f>
        <v>0.12643046357615895</v>
      </c>
      <c r="T22" s="99">
        <f>SUM(R22/'Rev BSL'!C30)</f>
        <v>0.08850132450331126</v>
      </c>
    </row>
    <row r="23" spans="2:20" s="71" customFormat="1" ht="16.5" customHeight="1">
      <c r="B23" s="95">
        <v>2004</v>
      </c>
      <c r="C23" s="96">
        <v>195867</v>
      </c>
      <c r="D23" s="96">
        <f>SUM(C23*3.33)</f>
        <v>652237.11</v>
      </c>
      <c r="E23" s="96">
        <f>SUM(C23*13.33)</f>
        <v>2610907.11</v>
      </c>
      <c r="F23" s="96">
        <f>SUM(G23:O23)</f>
        <v>975867</v>
      </c>
      <c r="G23" s="96">
        <f>SUM(C23*1)</f>
        <v>195867</v>
      </c>
      <c r="H23" s="96">
        <v>93500</v>
      </c>
      <c r="I23" s="96"/>
      <c r="J23" s="96">
        <v>54500</v>
      </c>
      <c r="K23" s="96">
        <v>52000</v>
      </c>
      <c r="L23" s="96">
        <f>SUM(L22*0.2+50000)</f>
        <v>60000</v>
      </c>
      <c r="M23" s="96">
        <v>500000</v>
      </c>
      <c r="N23" s="96"/>
      <c r="O23" s="96">
        <v>20000</v>
      </c>
      <c r="P23" s="96">
        <f>SUM(E23-D23-F23)</f>
        <v>982803</v>
      </c>
      <c r="Q23" s="96">
        <f>SUM(P23*30%)</f>
        <v>294840.89999999997</v>
      </c>
      <c r="R23" s="96">
        <f>SUM(P23-Q23)</f>
        <v>687962.1000000001</v>
      </c>
      <c r="S23" s="98">
        <f>SUM(P23/'Rev BSL'!E30)</f>
        <v>0.06990064011379801</v>
      </c>
      <c r="T23" s="99">
        <f>SUM(R23/'Rev BSL'!E30)</f>
        <v>0.048930448079658614</v>
      </c>
    </row>
    <row r="24" spans="2:20" s="71" customFormat="1" ht="16.5" customHeight="1">
      <c r="B24" s="95">
        <v>2005</v>
      </c>
      <c r="C24" s="96">
        <v>594000</v>
      </c>
      <c r="D24" s="96">
        <f>SUM(C24*3.33)</f>
        <v>1978020</v>
      </c>
      <c r="E24" s="96">
        <f>SUM(C24*13.33)</f>
        <v>7918020</v>
      </c>
      <c r="F24" s="96">
        <f>SUM(G24:O24)</f>
        <v>1404335</v>
      </c>
      <c r="G24" s="96">
        <f>SUM(C24*1)</f>
        <v>594000</v>
      </c>
      <c r="H24" s="96">
        <v>102850</v>
      </c>
      <c r="I24" s="96"/>
      <c r="J24" s="96">
        <v>59405</v>
      </c>
      <c r="K24" s="96">
        <v>54080</v>
      </c>
      <c r="L24" s="96">
        <f>SUM(L23*0.2+60000)</f>
        <v>72000</v>
      </c>
      <c r="M24" s="96">
        <v>500000</v>
      </c>
      <c r="N24" s="96"/>
      <c r="O24" s="96">
        <v>22000</v>
      </c>
      <c r="P24" s="96">
        <f>SUM(E24-D24-F24)</f>
        <v>4535665</v>
      </c>
      <c r="Q24" s="96">
        <f>SUM(P24*30%)</f>
        <v>1360699.5</v>
      </c>
      <c r="R24" s="96">
        <f>SUM(P24-Q24)</f>
        <v>3174965.5</v>
      </c>
      <c r="S24" s="98">
        <f>SUM(P24/'Rev BSL'!E30)</f>
        <v>0.3225935277382646</v>
      </c>
      <c r="T24" s="99">
        <f>SUM(R24/'Rev BSL'!G30)</f>
        <v>0.2258154694167852</v>
      </c>
    </row>
    <row r="25" spans="2:20" s="71" customFormat="1" ht="16.5" customHeight="1">
      <c r="B25" s="95">
        <v>2006</v>
      </c>
      <c r="C25" s="96">
        <v>1089000</v>
      </c>
      <c r="D25" s="96">
        <f>SUM(C25*3.33)</f>
        <v>3626370</v>
      </c>
      <c r="E25" s="96">
        <f>SUM(C25*13.33)</f>
        <v>14516370</v>
      </c>
      <c r="F25" s="96">
        <f>SUM(G25:O25)</f>
        <v>1063329</v>
      </c>
      <c r="G25" s="96">
        <f>SUM(C25*0.2)</f>
        <v>217800</v>
      </c>
      <c r="H25" s="96">
        <v>113135</v>
      </c>
      <c r="I25" s="96"/>
      <c r="J25" s="96">
        <v>64751</v>
      </c>
      <c r="K25" s="96">
        <v>56243</v>
      </c>
      <c r="L25" s="96">
        <f>SUM(L24*0.2+72000)</f>
        <v>86400</v>
      </c>
      <c r="M25" s="96">
        <v>500000</v>
      </c>
      <c r="N25" s="96"/>
      <c r="O25" s="96">
        <v>25000</v>
      </c>
      <c r="P25" s="96">
        <f>SUM(E25-D25-F25)</f>
        <v>9826671</v>
      </c>
      <c r="Q25" s="96">
        <f>SUM(P25*30%)</f>
        <v>2948001.3</v>
      </c>
      <c r="R25" s="96">
        <f>SUM(P25-Q25)</f>
        <v>6878669.7</v>
      </c>
      <c r="S25" s="98">
        <f>SUM(BSL!P25/'Rev BSL'!E30)</f>
        <v>0.6989097439544808</v>
      </c>
      <c r="T25" s="99">
        <f>SUM(R25/'Rev BSL'!I30)</f>
        <v>0.48923682076813657</v>
      </c>
    </row>
    <row r="26" spans="2:20" s="71" customFormat="1" ht="16.5" customHeight="1">
      <c r="B26" s="95">
        <v>2007</v>
      </c>
      <c r="C26" s="96">
        <v>1568457</v>
      </c>
      <c r="D26" s="97">
        <f>SUM(C26*3.33)</f>
        <v>5222961.8100000005</v>
      </c>
      <c r="E26" s="97">
        <f>SUM(C26*13.33)</f>
        <v>20907531.81</v>
      </c>
      <c r="F26" s="97">
        <f>SUM(G26:O26)</f>
        <v>885198</v>
      </c>
      <c r="G26" s="97">
        <f>SUM(C26*0)</f>
        <v>0</v>
      </c>
      <c r="H26" s="97">
        <v>124448</v>
      </c>
      <c r="I26" s="97"/>
      <c r="J26" s="97">
        <v>70578</v>
      </c>
      <c r="K26" s="97">
        <v>58492</v>
      </c>
      <c r="L26" s="97">
        <f>SUM(L25*0.2+86400)</f>
        <v>103680</v>
      </c>
      <c r="M26" s="97">
        <v>500000</v>
      </c>
      <c r="N26" s="97"/>
      <c r="O26" s="97">
        <v>28000</v>
      </c>
      <c r="P26" s="97">
        <f>SUM(E26-D26-F26)</f>
        <v>14799371.999999998</v>
      </c>
      <c r="Q26" s="97">
        <f>SUM(P26*30%)</f>
        <v>4439811.6</v>
      </c>
      <c r="R26" s="97">
        <f>SUM(P26-Q26)</f>
        <v>10359560.399999999</v>
      </c>
      <c r="S26" s="98">
        <f>SUM(P26/'Rev BSL'!E30)</f>
        <v>1.0525869132290184</v>
      </c>
      <c r="T26" s="99">
        <f>SUM(R26/'Rev BSL'!K30)</f>
        <v>0.6137180331753553</v>
      </c>
    </row>
    <row r="27" spans="2:20" s="71" customFormat="1" ht="15.75" customHeight="1">
      <c r="B27" s="85"/>
      <c r="C27" s="85"/>
      <c r="D27" s="85"/>
      <c r="E27" s="85"/>
      <c r="F27" s="85"/>
      <c r="G27" s="85"/>
      <c r="H27" s="103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2:20" s="71" customFormat="1" ht="15.7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2:20" s="71" customFormat="1" ht="15.75" customHeight="1">
      <c r="B29" s="85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5"/>
    </row>
    <row r="30" spans="2:20" s="71" customFormat="1" ht="15.75" customHeight="1">
      <c r="B30" s="74" t="s">
        <v>27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84"/>
      <c r="O30" s="84"/>
      <c r="P30" s="84"/>
      <c r="Q30" s="84"/>
      <c r="R30" s="84"/>
      <c r="S30" s="84"/>
      <c r="T30" s="85"/>
    </row>
    <row r="31" spans="2:20" s="72" customFormat="1" ht="15.75" customHeight="1">
      <c r="B31" s="83" t="s">
        <v>2</v>
      </c>
      <c r="C31" s="86" t="s">
        <v>55</v>
      </c>
      <c r="D31" s="86" t="s">
        <v>67</v>
      </c>
      <c r="E31" s="86" t="s">
        <v>3</v>
      </c>
      <c r="F31" s="86" t="s">
        <v>61</v>
      </c>
      <c r="G31" s="87" t="s">
        <v>5</v>
      </c>
      <c r="H31" s="86" t="s">
        <v>62</v>
      </c>
      <c r="I31" s="86" t="s">
        <v>7</v>
      </c>
      <c r="J31" s="86" t="s">
        <v>60</v>
      </c>
      <c r="K31" s="86" t="s">
        <v>9</v>
      </c>
      <c r="L31" s="87" t="s">
        <v>83</v>
      </c>
      <c r="M31" s="86" t="s">
        <v>10</v>
      </c>
      <c r="N31" s="87"/>
      <c r="O31" s="86" t="s">
        <v>11</v>
      </c>
      <c r="P31" s="86" t="s">
        <v>12</v>
      </c>
      <c r="Q31" s="86" t="s">
        <v>13</v>
      </c>
      <c r="R31" s="86" t="s">
        <v>14</v>
      </c>
      <c r="S31" s="86" t="s">
        <v>14</v>
      </c>
      <c r="T31" s="87" t="s">
        <v>14</v>
      </c>
    </row>
    <row r="32" spans="2:20" s="72" customFormat="1" ht="15.75" customHeight="1">
      <c r="B32" s="83" t="s">
        <v>15</v>
      </c>
      <c r="C32" s="88"/>
      <c r="D32" s="86"/>
      <c r="E32" s="89" t="s">
        <v>56</v>
      </c>
      <c r="F32" s="89" t="s">
        <v>16</v>
      </c>
      <c r="G32" s="87" t="s">
        <v>17</v>
      </c>
      <c r="H32" s="89" t="s">
        <v>18</v>
      </c>
      <c r="I32" s="89" t="s">
        <v>19</v>
      </c>
      <c r="J32" s="89" t="s">
        <v>20</v>
      </c>
      <c r="K32" s="89" t="s">
        <v>21</v>
      </c>
      <c r="L32" s="89" t="s">
        <v>16</v>
      </c>
      <c r="M32" s="89" t="s">
        <v>22</v>
      </c>
      <c r="N32" s="102"/>
      <c r="O32" s="89" t="s">
        <v>23</v>
      </c>
      <c r="P32" s="89"/>
      <c r="Q32" s="89">
        <v>0.3</v>
      </c>
      <c r="R32" s="89" t="s">
        <v>24</v>
      </c>
      <c r="S32" s="86" t="s">
        <v>25</v>
      </c>
      <c r="T32" s="87" t="s">
        <v>25</v>
      </c>
    </row>
    <row r="33" spans="2:20" s="71" customFormat="1" ht="15.75" customHeight="1">
      <c r="B33" s="90"/>
      <c r="C33" s="91"/>
      <c r="D33" s="104"/>
      <c r="E33" s="91"/>
      <c r="F33" s="91"/>
      <c r="G33" s="91"/>
      <c r="H33" s="85"/>
      <c r="I33" s="91"/>
      <c r="J33" s="85"/>
      <c r="K33" s="92"/>
      <c r="L33" s="92"/>
      <c r="M33" s="85"/>
      <c r="N33" s="85"/>
      <c r="O33" s="91"/>
      <c r="P33" s="85"/>
      <c r="Q33" s="85"/>
      <c r="R33" s="92"/>
      <c r="S33" s="93"/>
      <c r="T33" s="94"/>
    </row>
    <row r="34" spans="2:20" s="71" customFormat="1" ht="16.5" customHeight="1">
      <c r="B34" s="95">
        <v>2003</v>
      </c>
      <c r="C34" s="105">
        <v>0</v>
      </c>
      <c r="D34" s="105"/>
      <c r="E34" s="105">
        <f>SUM(C34*120)</f>
        <v>0</v>
      </c>
      <c r="F34" s="105"/>
      <c r="G34" s="105">
        <f>SUM(C34*10)</f>
        <v>0</v>
      </c>
      <c r="H34" s="105"/>
      <c r="I34" s="105">
        <v>0</v>
      </c>
      <c r="J34" s="105"/>
      <c r="K34" s="105">
        <v>0</v>
      </c>
      <c r="L34" s="105"/>
      <c r="M34" s="105">
        <v>0</v>
      </c>
      <c r="N34" s="105"/>
      <c r="O34" s="105">
        <v>0</v>
      </c>
      <c r="P34" s="105">
        <f>SUM(E34-D34-F34)</f>
        <v>0</v>
      </c>
      <c r="Q34" s="105">
        <f>SUM(P34*30%)</f>
        <v>0</v>
      </c>
      <c r="R34" s="105">
        <f>SUM(P34-Q34)</f>
        <v>0</v>
      </c>
      <c r="S34" s="98">
        <f>SUM(P34/'Rev BSL'!C30)</f>
        <v>0</v>
      </c>
      <c r="T34" s="99">
        <f>SUM(R34/'Rev BSL'!C30)</f>
        <v>0</v>
      </c>
    </row>
    <row r="35" spans="2:20" s="71" customFormat="1" ht="16.5" customHeight="1">
      <c r="B35" s="95">
        <v>2004</v>
      </c>
      <c r="C35" s="96">
        <v>99000</v>
      </c>
      <c r="D35" s="97">
        <f>SUM(C35*3.33)</f>
        <v>329670</v>
      </c>
      <c r="E35" s="97">
        <f>SUM(C35*13.33)</f>
        <v>1319670</v>
      </c>
      <c r="F35" s="105">
        <f>SUM(G35:O35)</f>
        <v>99000</v>
      </c>
      <c r="G35" s="105">
        <f>SUM(C35*1)</f>
        <v>99000</v>
      </c>
      <c r="H35" s="96"/>
      <c r="I35" s="97"/>
      <c r="J35" s="97"/>
      <c r="K35" s="97"/>
      <c r="L35" s="97"/>
      <c r="M35" s="97"/>
      <c r="N35" s="97"/>
      <c r="O35" s="97"/>
      <c r="P35" s="97">
        <f>SUM(E35-D35-F35)</f>
        <v>891000</v>
      </c>
      <c r="Q35" s="97">
        <f>SUM(P35*30%)</f>
        <v>267300</v>
      </c>
      <c r="R35" s="96">
        <f>SUM(P35-Q35)</f>
        <v>623700</v>
      </c>
      <c r="S35" s="98">
        <f>SUM(P35/'Rev BSL'!E30)</f>
        <v>0.06337126600284496</v>
      </c>
      <c r="T35" s="99">
        <f>SUM(R36/'Rev BSL'!E30)</f>
        <v>0.06049075391180654</v>
      </c>
    </row>
    <row r="36" spans="2:20" s="71" customFormat="1" ht="16.5" customHeight="1">
      <c r="B36" s="95">
        <v>2005</v>
      </c>
      <c r="C36" s="96">
        <v>135000</v>
      </c>
      <c r="D36" s="96">
        <f>SUM(C36*3.33)</f>
        <v>449550</v>
      </c>
      <c r="E36" s="96">
        <f>SUM(C36*13.33)</f>
        <v>1799550</v>
      </c>
      <c r="F36" s="96">
        <f>SUM(G36:O36)</f>
        <v>135000</v>
      </c>
      <c r="G36" s="96">
        <f>SUM(C36*1)</f>
        <v>135000</v>
      </c>
      <c r="H36" s="96"/>
      <c r="I36" s="96"/>
      <c r="J36" s="96"/>
      <c r="K36" s="96"/>
      <c r="L36" s="96"/>
      <c r="M36" s="96"/>
      <c r="N36" s="96"/>
      <c r="O36" s="96"/>
      <c r="P36" s="96">
        <f>SUM(E36-D36-F36)</f>
        <v>1215000</v>
      </c>
      <c r="Q36" s="96">
        <f>SUM(P36*30%)</f>
        <v>364500</v>
      </c>
      <c r="R36" s="96">
        <f>SUM(P36-Q36)</f>
        <v>850500</v>
      </c>
      <c r="S36" s="98">
        <f>SUM(P36/'Rev BSL'!E30)</f>
        <v>0.0864153627311522</v>
      </c>
      <c r="T36" s="99">
        <f>SUM(R36/'Rev BSL'!G30)</f>
        <v>0.06049075391180654</v>
      </c>
    </row>
    <row r="37" spans="2:20" s="71" customFormat="1" ht="16.5" customHeight="1">
      <c r="B37" s="95">
        <v>2006</v>
      </c>
      <c r="C37" s="96">
        <v>189000</v>
      </c>
      <c r="D37" s="96">
        <f>SUM(C37*3.33)</f>
        <v>629370</v>
      </c>
      <c r="E37" s="96">
        <f>SUM(C37*13.33)</f>
        <v>2519370</v>
      </c>
      <c r="F37" s="96">
        <f>SUM(G37:O37)</f>
        <v>37800</v>
      </c>
      <c r="G37" s="96">
        <f>SUM(C37*0.2)</f>
        <v>37800</v>
      </c>
      <c r="H37" s="96"/>
      <c r="I37" s="96"/>
      <c r="J37" s="96"/>
      <c r="K37" s="96"/>
      <c r="L37" s="96"/>
      <c r="M37" s="96"/>
      <c r="N37" s="96"/>
      <c r="O37" s="96"/>
      <c r="P37" s="96">
        <f>SUM(E37-D37-F37)</f>
        <v>1852200</v>
      </c>
      <c r="Q37" s="96">
        <f>SUM(P37*30%)</f>
        <v>555660</v>
      </c>
      <c r="R37" s="96">
        <f>SUM(P37-Q37)</f>
        <v>1296540</v>
      </c>
      <c r="S37" s="98">
        <f>SUM(P37/'Rev BSL'!E30)</f>
        <v>0.13173541963015648</v>
      </c>
      <c r="T37" s="99">
        <f>SUM(R37/'Rev BSL'!G30)</f>
        <v>0.09221479374110952</v>
      </c>
    </row>
    <row r="38" spans="2:20" s="71" customFormat="1" ht="16.5" customHeight="1">
      <c r="B38" s="95">
        <v>2007</v>
      </c>
      <c r="C38" s="96">
        <v>248220</v>
      </c>
      <c r="D38" s="97">
        <f>SUM(C38*3.33)</f>
        <v>826572.6</v>
      </c>
      <c r="E38" s="97">
        <f>SUM(C38*13.33)</f>
        <v>3308772.6</v>
      </c>
      <c r="F38" s="105">
        <f>SUM(G38:O38)</f>
        <v>0</v>
      </c>
      <c r="G38" s="97">
        <f>SUM(C38*0)</f>
        <v>0</v>
      </c>
      <c r="H38" s="97" t="s">
        <v>0</v>
      </c>
      <c r="I38" s="97" t="s">
        <v>0</v>
      </c>
      <c r="J38" s="97" t="s">
        <v>0</v>
      </c>
      <c r="K38" s="97" t="s">
        <v>0</v>
      </c>
      <c r="L38" s="97"/>
      <c r="M38" s="97" t="s">
        <v>0</v>
      </c>
      <c r="N38" s="97"/>
      <c r="O38" s="97" t="s">
        <v>0</v>
      </c>
      <c r="P38" s="97">
        <f>SUM(E38-D38-F38)</f>
        <v>2482200</v>
      </c>
      <c r="Q38" s="97">
        <f>SUM(P38*30%)</f>
        <v>744660</v>
      </c>
      <c r="R38" s="97">
        <f>SUM(P38-Q38)</f>
        <v>1737540</v>
      </c>
      <c r="S38" s="98">
        <f>SUM(P38/'Rev BSL'!E30)</f>
        <v>0.1765433854907539</v>
      </c>
      <c r="T38" s="99">
        <f>SUM(R38/'Rev BSL'!K30)</f>
        <v>0.10293483412322275</v>
      </c>
    </row>
    <row r="39" spans="2:20" s="71" customFormat="1" ht="15.7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2:20" s="71" customFormat="1" ht="15.7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2:20" s="71" customFormat="1" ht="15.75" customHeight="1">
      <c r="B41" s="85"/>
      <c r="C41" s="85"/>
      <c r="D41" s="85"/>
      <c r="E41" s="8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5"/>
    </row>
    <row r="42" spans="2:20" s="71" customFormat="1" ht="15.75" customHeight="1">
      <c r="B42" s="109" t="s">
        <v>63</v>
      </c>
      <c r="C42" s="109"/>
      <c r="D42" s="109"/>
      <c r="E42" s="109"/>
      <c r="F42" s="83"/>
      <c r="G42" s="83"/>
      <c r="H42" s="83"/>
      <c r="I42" s="83"/>
      <c r="J42" s="83"/>
      <c r="K42" s="83"/>
      <c r="L42" s="83"/>
      <c r="M42" s="106"/>
      <c r="N42" s="106"/>
      <c r="O42" s="106"/>
      <c r="P42" s="106"/>
      <c r="Q42" s="106"/>
      <c r="R42" s="106"/>
      <c r="S42" s="106"/>
      <c r="T42" s="85"/>
    </row>
    <row r="43" spans="2:20" s="72" customFormat="1" ht="15.75" customHeight="1">
      <c r="B43" s="83"/>
      <c r="C43" s="86" t="s">
        <v>55</v>
      </c>
      <c r="D43" s="86" t="s">
        <v>67</v>
      </c>
      <c r="E43" s="86" t="s">
        <v>3</v>
      </c>
      <c r="F43" s="86" t="s">
        <v>93</v>
      </c>
      <c r="G43" s="87" t="s">
        <v>5</v>
      </c>
      <c r="H43" s="86" t="s">
        <v>6</v>
      </c>
      <c r="I43" s="86" t="s">
        <v>7</v>
      </c>
      <c r="J43" s="86" t="s">
        <v>8</v>
      </c>
      <c r="K43" s="86" t="s">
        <v>9</v>
      </c>
      <c r="L43" s="87" t="s">
        <v>83</v>
      </c>
      <c r="M43" s="86" t="s">
        <v>10</v>
      </c>
      <c r="N43" s="86" t="s">
        <v>70</v>
      </c>
      <c r="O43" s="86" t="s">
        <v>11</v>
      </c>
      <c r="P43" s="86" t="s">
        <v>12</v>
      </c>
      <c r="Q43" s="86" t="s">
        <v>13</v>
      </c>
      <c r="R43" s="86" t="s">
        <v>14</v>
      </c>
      <c r="S43" s="86" t="s">
        <v>14</v>
      </c>
      <c r="T43" s="87" t="s">
        <v>14</v>
      </c>
    </row>
    <row r="44" spans="2:20" s="72" customFormat="1" ht="15.75" customHeight="1">
      <c r="B44" s="83"/>
      <c r="C44" s="88"/>
      <c r="D44" s="86"/>
      <c r="E44" s="89" t="s">
        <v>56</v>
      </c>
      <c r="F44" s="101"/>
      <c r="G44" s="87" t="s">
        <v>17</v>
      </c>
      <c r="H44" s="89" t="s">
        <v>18</v>
      </c>
      <c r="I44" s="89" t="s">
        <v>19</v>
      </c>
      <c r="J44" s="89" t="s">
        <v>20</v>
      </c>
      <c r="K44" s="89" t="s">
        <v>21</v>
      </c>
      <c r="L44" s="89" t="s">
        <v>16</v>
      </c>
      <c r="M44" s="89" t="s">
        <v>22</v>
      </c>
      <c r="N44" s="89" t="s">
        <v>71</v>
      </c>
      <c r="O44" s="89" t="s">
        <v>23</v>
      </c>
      <c r="P44" s="89"/>
      <c r="Q44" s="89">
        <v>0.3</v>
      </c>
      <c r="R44" s="89" t="s">
        <v>24</v>
      </c>
      <c r="S44" s="86" t="s">
        <v>25</v>
      </c>
      <c r="T44" s="87" t="s">
        <v>25</v>
      </c>
    </row>
    <row r="45" spans="2:20" s="71" customFormat="1" ht="15.75" customHeight="1">
      <c r="B45" s="90"/>
      <c r="C45" s="91"/>
      <c r="D45" s="91"/>
      <c r="E45" s="91"/>
      <c r="F45" s="92"/>
      <c r="G45" s="92"/>
      <c r="H45" s="85"/>
      <c r="I45" s="91"/>
      <c r="J45" s="85"/>
      <c r="K45" s="91"/>
      <c r="L45" s="91"/>
      <c r="M45" s="85"/>
      <c r="N45" s="85"/>
      <c r="O45" s="92"/>
      <c r="P45" s="85"/>
      <c r="Q45" s="85"/>
      <c r="R45" s="92"/>
      <c r="S45" s="93"/>
      <c r="T45" s="94"/>
    </row>
    <row r="46" spans="2:20" s="71" customFormat="1" ht="16.5" customHeight="1">
      <c r="B46" s="95">
        <v>2003</v>
      </c>
      <c r="C46" s="96">
        <f aca="true" t="shared" si="0" ref="C46:O46">SUM(C10+C22+C34)</f>
        <v>875440</v>
      </c>
      <c r="D46" s="96">
        <f t="shared" si="0"/>
        <v>2915215.2</v>
      </c>
      <c r="E46" s="97">
        <f t="shared" si="0"/>
        <v>11669615.2</v>
      </c>
      <c r="F46" s="97">
        <f>SUM(F10+F22)+762000</f>
        <v>4611940</v>
      </c>
      <c r="G46" s="97">
        <f>SUM(G10+G22+G34)</f>
        <v>875440</v>
      </c>
      <c r="H46" s="97">
        <f t="shared" si="0"/>
        <v>480000</v>
      </c>
      <c r="I46" s="97">
        <f>SUM(I10+I22+I34)</f>
        <v>75000</v>
      </c>
      <c r="J46" s="97">
        <f t="shared" si="0"/>
        <v>150000</v>
      </c>
      <c r="K46" s="97">
        <f t="shared" si="0"/>
        <v>134000</v>
      </c>
      <c r="L46" s="97">
        <f>SUM(L10,L22,L34)</f>
        <v>150000</v>
      </c>
      <c r="M46" s="97">
        <f t="shared" si="0"/>
        <v>1219000</v>
      </c>
      <c r="N46" s="97">
        <f>SUM(N10)</f>
        <v>720000</v>
      </c>
      <c r="O46" s="97">
        <f t="shared" si="0"/>
        <v>46500</v>
      </c>
      <c r="P46" s="97">
        <f>SUM('Rev BSL'!C26)</f>
        <v>4142460</v>
      </c>
      <c r="Q46" s="97">
        <f>SUM(P46*30%)</f>
        <v>1242738</v>
      </c>
      <c r="R46" s="97">
        <f>SUM(P46-Q46)</f>
        <v>2899722</v>
      </c>
      <c r="S46" s="98">
        <f>SUM(P46/'Rev BSL'!C30)</f>
        <v>0.4572251655629139</v>
      </c>
      <c r="T46" s="99">
        <f>SUM(R46/'Rev BSL'!C30)</f>
        <v>0.32005761589403975</v>
      </c>
    </row>
    <row r="47" spans="2:20" s="71" customFormat="1" ht="16.5" customHeight="1">
      <c r="B47" s="95">
        <v>2004</v>
      </c>
      <c r="C47" s="96">
        <f aca="true" t="shared" si="1" ref="C47:O47">SUM(C11+C23+C35)</f>
        <v>1554867</v>
      </c>
      <c r="D47" s="96">
        <f t="shared" si="1"/>
        <v>5177707.11</v>
      </c>
      <c r="E47" s="96">
        <f t="shared" si="1"/>
        <v>20726377.11</v>
      </c>
      <c r="F47" s="96">
        <f>SUM(F11+F23+F35)</f>
        <v>5791627</v>
      </c>
      <c r="G47" s="96">
        <f>SUM(G11+G23+G35)</f>
        <v>1554867</v>
      </c>
      <c r="H47" s="96">
        <f t="shared" si="1"/>
        <v>528000</v>
      </c>
      <c r="I47" s="96">
        <f t="shared" si="1"/>
        <v>75000</v>
      </c>
      <c r="J47" s="96">
        <f t="shared" si="1"/>
        <v>163500</v>
      </c>
      <c r="K47" s="96">
        <f t="shared" si="1"/>
        <v>139360</v>
      </c>
      <c r="L47" s="96">
        <f>SUM(L11,L23,L35)</f>
        <v>180000</v>
      </c>
      <c r="M47" s="96">
        <f t="shared" si="1"/>
        <v>1840900</v>
      </c>
      <c r="N47" s="96">
        <f>SUM(N11)</f>
        <v>1260000</v>
      </c>
      <c r="O47" s="96">
        <f t="shared" si="1"/>
        <v>50000</v>
      </c>
      <c r="P47" s="96">
        <f>SUM(E47-D47-F47)</f>
        <v>9757043</v>
      </c>
      <c r="Q47" s="96">
        <f>SUM(P47*30%)</f>
        <v>2927112.9</v>
      </c>
      <c r="R47" s="96">
        <f>SUM(P47-Q47)</f>
        <v>6829930.1</v>
      </c>
      <c r="S47" s="98">
        <f>SUM(P47/'Rev BSL'!E30)</f>
        <v>0.6939575391180655</v>
      </c>
      <c r="T47" s="99">
        <f>SUM(R47/'Rev BSL'!E30)</f>
        <v>0.4857702773826458</v>
      </c>
    </row>
    <row r="48" spans="2:20" s="71" customFormat="1" ht="16.5" customHeight="1">
      <c r="B48" s="95">
        <v>2005</v>
      </c>
      <c r="C48" s="96">
        <f aca="true" t="shared" si="2" ref="C48:O48">SUM(C12+C24+C36)</f>
        <v>2799000</v>
      </c>
      <c r="D48" s="96">
        <f t="shared" si="2"/>
        <v>9320670</v>
      </c>
      <c r="E48" s="96">
        <f t="shared" si="2"/>
        <v>37310670</v>
      </c>
      <c r="F48" s="96">
        <f>SUM(F12+F24+F36)</f>
        <v>8095939</v>
      </c>
      <c r="G48" s="96">
        <f>SUM(G12+G24+G36)</f>
        <v>2799000</v>
      </c>
      <c r="H48" s="96">
        <f t="shared" si="2"/>
        <v>580800</v>
      </c>
      <c r="I48" s="96">
        <f t="shared" si="2"/>
        <v>75000</v>
      </c>
      <c r="J48" s="96">
        <f t="shared" si="2"/>
        <v>178215</v>
      </c>
      <c r="K48" s="96">
        <f t="shared" si="2"/>
        <v>144934</v>
      </c>
      <c r="L48" s="96">
        <f>SUM(L12,L24,L36)</f>
        <v>216000</v>
      </c>
      <c r="M48" s="96">
        <f t="shared" si="2"/>
        <v>1974990.0000000002</v>
      </c>
      <c r="N48" s="96">
        <f>SUM(N12)</f>
        <v>2070000</v>
      </c>
      <c r="O48" s="96">
        <f t="shared" si="2"/>
        <v>57000</v>
      </c>
      <c r="P48" s="96">
        <f>SUM(E48-D48-F48)</f>
        <v>19894061</v>
      </c>
      <c r="Q48" s="96">
        <f>SUM(P48*30%)</f>
        <v>5968218.3</v>
      </c>
      <c r="R48" s="96">
        <f>SUM(P48-Q48)</f>
        <v>13925842.7</v>
      </c>
      <c r="S48" s="98">
        <f>SUM(P48/'Rev BSL'!E30)</f>
        <v>1.4149403271692746</v>
      </c>
      <c r="T48" s="99">
        <f>SUM(R48/'Rev BSL'!E30)</f>
        <v>0.9904582290184921</v>
      </c>
    </row>
    <row r="49" spans="2:20" s="71" customFormat="1" ht="16.5" customHeight="1">
      <c r="B49" s="95">
        <v>2006</v>
      </c>
      <c r="C49" s="96">
        <f aca="true" t="shared" si="3" ref="C49:O49">SUM(C13+C25+C37)</f>
        <v>4068000</v>
      </c>
      <c r="D49" s="96">
        <f t="shared" si="3"/>
        <v>13546440</v>
      </c>
      <c r="E49" s="96">
        <f t="shared" si="3"/>
        <v>54226440</v>
      </c>
      <c r="F49" s="96">
        <f>SUM(F13+F25+F37)</f>
        <v>4311154</v>
      </c>
      <c r="G49" s="96">
        <f>SUM(G13+G25+G37)</f>
        <v>813600</v>
      </c>
      <c r="H49" s="96">
        <f t="shared" si="3"/>
        <v>638880</v>
      </c>
      <c r="I49" s="96">
        <f t="shared" si="3"/>
        <v>75000</v>
      </c>
      <c r="J49" s="96">
        <f t="shared" si="3"/>
        <v>186254</v>
      </c>
      <c r="K49" s="96">
        <f t="shared" si="3"/>
        <v>150731</v>
      </c>
      <c r="L49" s="96">
        <f>SUM(L13,L25,L37)</f>
        <v>259200</v>
      </c>
      <c r="M49" s="96">
        <f t="shared" si="3"/>
        <v>2122489.0000000005</v>
      </c>
      <c r="N49" s="96"/>
      <c r="O49" s="96">
        <f t="shared" si="3"/>
        <v>65000</v>
      </c>
      <c r="P49" s="96">
        <f>SUM(E49-D49-F49)</f>
        <v>36368846</v>
      </c>
      <c r="Q49" s="96">
        <f>SUM(P49*30%)</f>
        <v>10910653.799999999</v>
      </c>
      <c r="R49" s="96">
        <f>SUM(P49-Q49)</f>
        <v>25458192.200000003</v>
      </c>
      <c r="S49" s="98">
        <f>SUM(P49/'Rev BSL'!E30)</f>
        <v>2.5866889046941677</v>
      </c>
      <c r="T49" s="99">
        <f>SUM(R49/'Rev BSL'!I30)</f>
        <v>1.8106822332859178</v>
      </c>
    </row>
    <row r="50" spans="2:20" s="71" customFormat="1" ht="16.5" customHeight="1">
      <c r="B50" s="95">
        <v>2007</v>
      </c>
      <c r="C50" s="96">
        <f>SUM(C14+C26+C38)</f>
        <v>5416677</v>
      </c>
      <c r="D50" s="97">
        <f>SUM(D14+D26+D38)</f>
        <v>18037534.410000004</v>
      </c>
      <c r="E50" s="97">
        <f>SUM(E14+E26+E38)</f>
        <v>72204304.41</v>
      </c>
      <c r="F50" s="97">
        <f>SUM(F14+F26+F38)</f>
        <v>3806319.9000000004</v>
      </c>
      <c r="G50" s="97">
        <f>SUM(C50*0)</f>
        <v>0</v>
      </c>
      <c r="H50" s="97">
        <f aca="true" t="shared" si="4" ref="H50:O50">SUM(H14+H26)</f>
        <v>702767</v>
      </c>
      <c r="I50" s="97">
        <f t="shared" si="4"/>
        <v>75000</v>
      </c>
      <c r="J50" s="97">
        <f t="shared" si="4"/>
        <v>203016</v>
      </c>
      <c r="K50" s="97">
        <f t="shared" si="4"/>
        <v>156759</v>
      </c>
      <c r="L50" s="97">
        <f>SUM(L14,L26,L38)</f>
        <v>311040</v>
      </c>
      <c r="M50" s="97">
        <f t="shared" si="4"/>
        <v>2284737.9000000004</v>
      </c>
      <c r="N50" s="97"/>
      <c r="O50" s="97">
        <f t="shared" si="4"/>
        <v>73000</v>
      </c>
      <c r="P50" s="97">
        <f>SUM(E50-D50-F50)</f>
        <v>50360450.099999994</v>
      </c>
      <c r="Q50" s="97">
        <f>SUM(P50*30%)</f>
        <v>15108135.029999997</v>
      </c>
      <c r="R50" s="97">
        <f>SUM(P50-Q50)</f>
        <v>35252315.06999999</v>
      </c>
      <c r="S50" s="98">
        <f>SUM(P50/'Rev BSL'!E30)</f>
        <v>3.5818243314366995</v>
      </c>
      <c r="T50" s="99">
        <f>SUM(R50/'Rev BSL'!K30)</f>
        <v>2.088407290876777</v>
      </c>
    </row>
    <row r="51" ht="12.75">
      <c r="I51" s="6"/>
    </row>
    <row r="53" ht="12.75">
      <c r="B53" t="s">
        <v>94</v>
      </c>
    </row>
  </sheetData>
  <mergeCells count="1">
    <mergeCell ref="B42:E42"/>
  </mergeCells>
  <printOptions horizontalCentered="1" verticalCentered="1"/>
  <pageMargins left="0.28" right="0" top="0" bottom="0" header="0" footer="0"/>
  <pageSetup fitToHeight="1" fitToWidth="1" horizontalDpi="300" verticalDpi="3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</dc:creator>
  <cp:keywords/>
  <dc:description/>
  <cp:lastModifiedBy>dawn</cp:lastModifiedBy>
  <cp:lastPrinted>2002-09-23T21:58:37Z</cp:lastPrinted>
  <dcterms:created xsi:type="dcterms:W3CDTF">2002-01-25T18:16:38Z</dcterms:created>
  <dcterms:modified xsi:type="dcterms:W3CDTF">2002-10-25T18:43:46Z</dcterms:modified>
  <cp:category/>
  <cp:version/>
  <cp:contentType/>
  <cp:contentStatus/>
</cp:coreProperties>
</file>